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8515" windowHeight="13230"/>
  </bookViews>
  <sheets>
    <sheet name="Dashboard" sheetId="2" r:id="rId1"/>
    <sheet name="DDEJFOREX" sheetId="1" state="hidden" r:id="rId2"/>
    <sheet name="Position Report" sheetId="4" r:id="rId3"/>
    <sheet name="Deposit Log" sheetId="7" r:id="rId4"/>
    <sheet name="Graphs PL" sheetId="9" r:id="rId5"/>
  </sheets>
  <definedNames>
    <definedName name="_xlnm._FilterDatabase" localSheetId="2" hidden="1">'Position Report'!$A$2:$S$3</definedName>
    <definedName name="Close_date">'Position Report'!$M:$M</definedName>
    <definedName name="Closed_Date">#REF!</definedName>
    <definedName name="Cumul">#REF!</definedName>
    <definedName name="Currency">DDEJFOREX!$L$2</definedName>
    <definedName name="Currency_dde">DDEJFOREX!$L$2</definedName>
    <definedName name="Currency_deposit">'Deposit Log'!$C:$C</definedName>
    <definedName name="Deposit">'Deposit Log'!$E:$E</definedName>
    <definedName name="Instruments">DDEJFOREX!$A$3:$I$23</definedName>
    <definedName name="LongorShort">DDEJFOREX!$O$2:$O$3</definedName>
    <definedName name="Open_date">'Position Report'!$L:$L</definedName>
    <definedName name="Side">'Position Report'!$B:$B</definedName>
    <definedName name="yesno">DDEJFOREX!$N$2:$N$3</definedName>
  </definedNames>
  <calcPr calcId="145621"/>
</workbook>
</file>

<file path=xl/calcChain.xml><?xml version="1.0" encoding="utf-8"?>
<calcChain xmlns="http://schemas.openxmlformats.org/spreadsheetml/2006/main">
  <c r="G15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3" i="1"/>
  <c r="M10" i="1"/>
  <c r="G14" i="2" l="1"/>
  <c r="B5" i="2" l="1"/>
  <c r="G11" i="1" l="1"/>
  <c r="G12" i="1"/>
  <c r="G13" i="1"/>
  <c r="G14" i="1"/>
  <c r="G16" i="1"/>
  <c r="G17" i="1"/>
  <c r="G18" i="1"/>
  <c r="G19" i="1"/>
  <c r="G20" i="1"/>
  <c r="G21" i="1"/>
  <c r="G22" i="1"/>
  <c r="G23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F14" i="2" l="1"/>
  <c r="G20" i="2" l="1"/>
  <c r="H10" i="2" l="1"/>
  <c r="H8" i="2"/>
  <c r="A1" i="4" l="1"/>
  <c r="M3" i="4"/>
  <c r="I8" i="2" l="1"/>
  <c r="F10" i="2"/>
  <c r="F8" i="2"/>
  <c r="E8" i="2"/>
  <c r="D8" i="2"/>
  <c r="C5" i="2"/>
  <c r="C4" i="2"/>
  <c r="E4" i="2"/>
  <c r="G5" i="2"/>
  <c r="G4" i="2"/>
  <c r="H4" i="2"/>
  <c r="G3" i="1" l="1"/>
  <c r="F17" i="2"/>
  <c r="E17" i="2"/>
  <c r="G28" i="2" l="1"/>
  <c r="F28" i="2"/>
  <c r="G24" i="2"/>
  <c r="F24" i="2"/>
  <c r="D21" i="2"/>
  <c r="D22" i="2"/>
  <c r="F30" i="2" l="1"/>
  <c r="D30" i="2" s="1"/>
  <c r="F26" i="2"/>
  <c r="D26" i="2" s="1"/>
  <c r="R3" i="4" l="1"/>
  <c r="T3" i="4" s="1"/>
  <c r="J3" i="4"/>
  <c r="D4" i="2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U3" i="4" l="1"/>
  <c r="V3" i="4" s="1"/>
  <c r="W3" i="4" s="1"/>
  <c r="Q3" i="4"/>
  <c r="I9" i="2" s="1"/>
  <c r="I11" i="2" s="1"/>
  <c r="B11" i="2"/>
  <c r="B10" i="2"/>
  <c r="E10" i="2"/>
  <c r="B9" i="2"/>
  <c r="F11" i="2"/>
  <c r="F9" i="2"/>
  <c r="D11" i="2"/>
  <c r="D10" i="2"/>
  <c r="E11" i="2"/>
  <c r="D5" i="2"/>
  <c r="F5" i="2" s="1"/>
  <c r="J9" i="2" l="1"/>
  <c r="C10" i="2"/>
  <c r="D9" i="2"/>
  <c r="E9" i="2"/>
  <c r="C11" i="2"/>
  <c r="H5" i="2"/>
  <c r="F4" i="2"/>
  <c r="J11" i="2" l="1"/>
  <c r="F15" i="2"/>
  <c r="G15" i="2" s="1"/>
  <c r="B4" i="2"/>
  <c r="D29" i="2" l="1"/>
  <c r="D20" i="2"/>
  <c r="D25" i="2"/>
  <c r="G4" i="1"/>
  <c r="G5" i="1"/>
  <c r="G6" i="1"/>
  <c r="G7" i="1"/>
  <c r="G8" i="1"/>
  <c r="G9" i="1"/>
  <c r="G10" i="1"/>
  <c r="D4" i="1" l="1"/>
  <c r="D5" i="1"/>
  <c r="D6" i="1"/>
  <c r="D7" i="1"/>
  <c r="D8" i="1"/>
  <c r="D9" i="1"/>
  <c r="D10" i="1"/>
  <c r="D3" i="1"/>
  <c r="H11" i="2" a="1"/>
  <c r="G17" i="2" l="1"/>
  <c r="G9" i="2"/>
  <c r="H11" i="2"/>
  <c r="G11" i="2" l="1"/>
  <c r="H9" i="2" a="1"/>
  <c r="H9" i="2" l="1"/>
</calcChain>
</file>

<file path=xl/sharedStrings.xml><?xml version="1.0" encoding="utf-8"?>
<sst xmlns="http://schemas.openxmlformats.org/spreadsheetml/2006/main" count="116" uniqueCount="102">
  <si>
    <t>AUD/CAD</t>
  </si>
  <si>
    <t>EUR/JPY</t>
  </si>
  <si>
    <t>USD/JPY</t>
  </si>
  <si>
    <t>EUR/USD</t>
  </si>
  <si>
    <t>EUR/GBP</t>
  </si>
  <si>
    <t>GBP/USD</t>
  </si>
  <si>
    <t>USD/CHF</t>
  </si>
  <si>
    <t>Paire</t>
  </si>
  <si>
    <t>Ask</t>
  </si>
  <si>
    <t>Bid</t>
  </si>
  <si>
    <t>Spread</t>
  </si>
  <si>
    <t>SPOT</t>
  </si>
  <si>
    <t>Cost for 1 lot</t>
  </si>
  <si>
    <t>Leverage</t>
  </si>
  <si>
    <t>Base equity</t>
  </si>
  <si>
    <t>Balance</t>
  </si>
  <si>
    <t>Currency</t>
  </si>
  <si>
    <t>EUR</t>
  </si>
  <si>
    <t>Side</t>
  </si>
  <si>
    <t>Instrument</t>
  </si>
  <si>
    <t>SL</t>
  </si>
  <si>
    <t>TP</t>
  </si>
  <si>
    <t>Duration</t>
  </si>
  <si>
    <t>Comments</t>
  </si>
  <si>
    <t>Position ID</t>
  </si>
  <si>
    <t>Amount</t>
  </si>
  <si>
    <t>Open Price</t>
  </si>
  <si>
    <t>Close Price</t>
  </si>
  <si>
    <t>P/L</t>
  </si>
  <si>
    <t>Swaps</t>
  </si>
  <si>
    <t>Gross P/L</t>
  </si>
  <si>
    <t>Vol. commision</t>
  </si>
  <si>
    <t>Open Date</t>
  </si>
  <si>
    <t>Close Date</t>
  </si>
  <si>
    <t>TL</t>
  </si>
  <si>
    <t>SHORT</t>
  </si>
  <si>
    <t>P/L in Pip</t>
  </si>
  <si>
    <t>LONG</t>
  </si>
  <si>
    <t>Date</t>
  </si>
  <si>
    <t>Cumul</t>
  </si>
  <si>
    <t>Total P/L %</t>
  </si>
  <si>
    <t>Negatives Trades</t>
  </si>
  <si>
    <t>Positives Trades</t>
  </si>
  <si>
    <t>Total of trades</t>
  </si>
  <si>
    <t>Percent</t>
  </si>
  <si>
    <t>Profit Factor</t>
  </si>
  <si>
    <t>Expected Payoff</t>
  </si>
  <si>
    <t>Amount to trade</t>
  </si>
  <si>
    <t>YES</t>
  </si>
  <si>
    <t>NO</t>
  </si>
  <si>
    <t>Cost For 1 Bid</t>
  </si>
  <si>
    <t>Cost for 1 Ask</t>
  </si>
  <si>
    <t>Stop Loss</t>
  </si>
  <si>
    <t>Scale</t>
  </si>
  <si>
    <t>Take Profit</t>
  </si>
  <si>
    <t>Account currency:</t>
  </si>
  <si>
    <t>in %</t>
  </si>
  <si>
    <t>Absolute drawdown in %</t>
  </si>
  <si>
    <t>Count</t>
  </si>
  <si>
    <t>Deposit's log</t>
  </si>
  <si>
    <t>Account</t>
  </si>
  <si>
    <t>Statistics</t>
  </si>
  <si>
    <t>In function of PIP</t>
  </si>
  <si>
    <t>Put your stop in PIP</t>
  </si>
  <si>
    <t>Put your SL</t>
  </si>
  <si>
    <t>Take profit</t>
  </si>
  <si>
    <t>In function of Take Profit</t>
  </si>
  <si>
    <t>Put your TP</t>
  </si>
  <si>
    <t xml:space="preserve">Calculation of risk </t>
  </si>
  <si>
    <t>SL In pip</t>
  </si>
  <si>
    <t>TP in PIP</t>
  </si>
  <si>
    <t>SL in PIP</t>
  </si>
  <si>
    <t>Risk</t>
  </si>
  <si>
    <t>Choose instrument</t>
  </si>
  <si>
    <t>Choose side</t>
  </si>
  <si>
    <t>Profit factor (Risk X Ratio)</t>
  </si>
  <si>
    <t>Dashboard - Dukascopy Swiss FX</t>
  </si>
  <si>
    <t>The password to unlock the sheet is: admin</t>
  </si>
  <si>
    <t>Deposit or withdrawal</t>
  </si>
  <si>
    <t>signe</t>
  </si>
  <si>
    <t>signe decaler</t>
  </si>
  <si>
    <t>Cumul p/l</t>
  </si>
  <si>
    <t>Cumul in money</t>
  </si>
  <si>
    <t>Max consecutive wins</t>
  </si>
  <si>
    <t>Max consecutive losses</t>
  </si>
  <si>
    <t>Only the cells in yellow are allowed to change</t>
  </si>
  <si>
    <t>EUR/AUD</t>
  </si>
  <si>
    <t>AUD/CHF</t>
  </si>
  <si>
    <t>AUD/JPY</t>
  </si>
  <si>
    <t>AUD/USD</t>
  </si>
  <si>
    <t>CAD/CHF</t>
  </si>
  <si>
    <t>CAD/JPY</t>
  </si>
  <si>
    <t>CHF/JPY</t>
  </si>
  <si>
    <t>EUR/CAD</t>
  </si>
  <si>
    <t>EUR/CHF</t>
  </si>
  <si>
    <t>GBP/AUD</t>
  </si>
  <si>
    <t>GBP/CAD</t>
  </si>
  <si>
    <t>GBP/CHF</t>
  </si>
  <si>
    <t>GBP/JPY</t>
  </si>
  <si>
    <t>USD/CAD</t>
  </si>
  <si>
    <t>In Function of position of Stop Loss</t>
  </si>
  <si>
    <t>Do not delete this file but modify it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</si>
</sst>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"/>
    <numFmt numFmtId="165" formatCode="0.0"/>
    <numFmt numFmtId="166" formatCode="0.000000"/>
    <numFmt numFmtId="167" formatCode="dd/mm/yy\ h:mm;@"/>
    <numFmt numFmtId="168" formatCode="[h]:mm:ss;@"/>
    <numFmt numFmtId="169" formatCode="0.0000000000"/>
    <numFmt numFmtId="170" formatCode="#,##0.00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0"/>
      <name val="Arial Black"/>
      <family val="2"/>
    </font>
    <font>
      <b/>
      <sz val="12"/>
      <color theme="0"/>
      <name val="Arial Black"/>
      <family val="2"/>
    </font>
    <font>
      <sz val="11"/>
      <color theme="1"/>
      <name val="Arial Black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/>
      <diagonal/>
    </border>
    <border diagonalUp="1" diagonalDown="1"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Dashed">
        <color auto="1"/>
      </left>
      <right style="mediumDashed">
        <color auto="1"/>
      </right>
      <top/>
      <bottom style="thin">
        <color auto="1"/>
      </bottom>
      <diagonal/>
    </border>
    <border diagonalUp="1" diagonalDown="1">
      <left style="thick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Dash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/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mediumDashed">
        <color auto="1"/>
      </bottom>
      <diagonal/>
    </border>
    <border>
      <left style="mediumDashed">
        <color auto="1"/>
      </left>
      <right style="thick">
        <color auto="1"/>
      </right>
      <top style="thin">
        <color auto="1"/>
      </top>
      <bottom style="mediumDashed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Dashed">
        <color auto="1"/>
      </right>
      <top/>
      <bottom style="thin">
        <color auto="1"/>
      </bottom>
      <diagonal/>
    </border>
    <border>
      <left/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mediumDashed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horizontal="center" wrapText="1"/>
    </xf>
    <xf numFmtId="167" fontId="1" fillId="0" borderId="0" xfId="0" applyNumberFormat="1" applyFont="1" applyAlignment="1">
      <alignment wrapText="1"/>
    </xf>
    <xf numFmtId="0" fontId="1" fillId="0" borderId="0" xfId="0" applyFont="1" applyAlignment="1"/>
    <xf numFmtId="168" fontId="1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NumberFormat="1" applyFont="1" applyAlignment="1">
      <alignment wrapText="1"/>
    </xf>
    <xf numFmtId="14" fontId="0" fillId="0" borderId="0" xfId="0" applyNumberFormat="1"/>
    <xf numFmtId="0" fontId="1" fillId="0" borderId="0" xfId="0" applyNumberFormat="1" applyFont="1" applyAlignment="1">
      <alignment wrapText="1"/>
    </xf>
    <xf numFmtId="169" fontId="0" fillId="0" borderId="0" xfId="0" applyNumberFormat="1"/>
    <xf numFmtId="169" fontId="0" fillId="0" borderId="0" xfId="0" applyNumberFormat="1" applyAlignment="1">
      <alignment horizontal="right"/>
    </xf>
    <xf numFmtId="0" fontId="1" fillId="0" borderId="0" xfId="0" applyFont="1" applyFill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0" xfId="0" applyBorder="1"/>
    <xf numFmtId="4" fontId="0" fillId="0" borderId="0" xfId="0" applyNumberFormat="1" applyBorder="1"/>
    <xf numFmtId="0" fontId="3" fillId="0" borderId="0" xfId="0" applyFont="1" applyFill="1" applyBorder="1" applyAlignment="1">
      <alignment horizontal="center"/>
    </xf>
    <xf numFmtId="10" fontId="0" fillId="0" borderId="0" xfId="0" applyNumberFormat="1" applyBorder="1"/>
    <xf numFmtId="170" fontId="0" fillId="4" borderId="1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4" fontId="0" fillId="4" borderId="9" xfId="0" applyNumberForma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10" fontId="0" fillId="6" borderId="12" xfId="0" applyNumberFormat="1" applyFill="1" applyBorder="1" applyAlignment="1">
      <alignment horizontal="center" vertical="center"/>
    </xf>
    <xf numFmtId="10" fontId="0" fillId="6" borderId="8" xfId="0" applyNumberFormat="1" applyFill="1" applyBorder="1" applyAlignment="1">
      <alignment horizontal="center" vertical="center"/>
    </xf>
    <xf numFmtId="0" fontId="4" fillId="4" borderId="15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16" xfId="0" applyFont="1" applyFill="1" applyBorder="1" applyAlignment="1">
      <alignment vertical="center"/>
    </xf>
    <xf numFmtId="0" fontId="4" fillId="4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/>
    </xf>
    <xf numFmtId="0" fontId="4" fillId="4" borderId="9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10" fontId="0" fillId="6" borderId="18" xfId="0" applyNumberForma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5" fillId="3" borderId="22" xfId="0" applyFont="1" applyFill="1" applyBorder="1"/>
    <xf numFmtId="0" fontId="5" fillId="3" borderId="23" xfId="0" applyFont="1" applyFill="1" applyBorder="1" applyAlignment="1">
      <alignment horizontal="right"/>
    </xf>
    <xf numFmtId="0" fontId="5" fillId="3" borderId="24" xfId="0" applyFont="1" applyFill="1" applyBorder="1"/>
    <xf numFmtId="4" fontId="5" fillId="3" borderId="25" xfId="0" applyNumberFormat="1" applyFont="1" applyFill="1" applyBorder="1"/>
    <xf numFmtId="0" fontId="5" fillId="3" borderId="26" xfId="0" applyFont="1" applyFill="1" applyBorder="1"/>
    <xf numFmtId="4" fontId="5" fillId="3" borderId="28" xfId="0" applyNumberFormat="1" applyFont="1" applyFill="1" applyBorder="1"/>
    <xf numFmtId="10" fontId="5" fillId="3" borderId="28" xfId="0" applyNumberFormat="1" applyFont="1" applyFill="1" applyBorder="1"/>
    <xf numFmtId="0" fontId="3" fillId="0" borderId="0" xfId="0" applyFont="1" applyFill="1" applyBorder="1" applyAlignment="1">
      <alignment vertical="center"/>
    </xf>
    <xf numFmtId="0" fontId="0" fillId="4" borderId="30" xfId="0" applyFill="1" applyBorder="1" applyAlignment="1">
      <alignment horizontal="center"/>
    </xf>
    <xf numFmtId="0" fontId="0" fillId="4" borderId="30" xfId="0" applyFill="1" applyBorder="1"/>
    <xf numFmtId="3" fontId="0" fillId="4" borderId="30" xfId="0" applyNumberFormat="1" applyFill="1" applyBorder="1" applyAlignment="1">
      <alignment horizontal="center"/>
    </xf>
    <xf numFmtId="165" fontId="0" fillId="4" borderId="30" xfId="0" applyNumberFormat="1" applyFill="1" applyBorder="1"/>
    <xf numFmtId="3" fontId="0" fillId="4" borderId="30" xfId="0" applyNumberFormat="1" applyFill="1" applyBorder="1"/>
    <xf numFmtId="1" fontId="0" fillId="4" borderId="30" xfId="0" applyNumberFormat="1" applyFill="1" applyBorder="1"/>
    <xf numFmtId="0" fontId="0" fillId="4" borderId="35" xfId="0" applyFill="1" applyBorder="1"/>
    <xf numFmtId="0" fontId="0" fillId="4" borderId="34" xfId="0" applyFill="1" applyBorder="1" applyAlignment="1">
      <alignment horizontal="left"/>
    </xf>
    <xf numFmtId="0" fontId="0" fillId="4" borderId="37" xfId="0" applyFill="1" applyBorder="1"/>
    <xf numFmtId="165" fontId="0" fillId="4" borderId="37" xfId="0" applyNumberFormat="1" applyFill="1" applyBorder="1"/>
    <xf numFmtId="0" fontId="0" fillId="4" borderId="36" xfId="0" applyFill="1" applyBorder="1" applyAlignment="1">
      <alignment horizontal="left"/>
    </xf>
    <xf numFmtId="164" fontId="0" fillId="4" borderId="37" xfId="0" applyNumberFormat="1" applyFill="1" applyBorder="1"/>
    <xf numFmtId="164" fontId="0" fillId="4" borderId="30" xfId="0" applyNumberFormat="1" applyFill="1" applyBorder="1"/>
    <xf numFmtId="164" fontId="0" fillId="4" borderId="30" xfId="0" applyNumberFormat="1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4" fillId="10" borderId="30" xfId="0" applyFont="1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4" fillId="9" borderId="3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43" xfId="0" applyFill="1" applyBorder="1" applyAlignment="1">
      <alignment horizontal="center"/>
    </xf>
    <xf numFmtId="0" fontId="6" fillId="8" borderId="39" xfId="0" applyFont="1" applyFill="1" applyBorder="1" applyAlignment="1">
      <alignment vertical="center" wrapText="1"/>
    </xf>
    <xf numFmtId="0" fontId="0" fillId="8" borderId="41" xfId="0" applyFill="1" applyBorder="1"/>
    <xf numFmtId="0" fontId="0" fillId="8" borderId="39" xfId="0" applyFill="1" applyBorder="1"/>
    <xf numFmtId="0" fontId="0" fillId="0" borderId="46" xfId="0" applyBorder="1"/>
    <xf numFmtId="0" fontId="0" fillId="0" borderId="45" xfId="0" applyBorder="1"/>
    <xf numFmtId="14" fontId="0" fillId="7" borderId="45" xfId="0" applyNumberFormat="1" applyFill="1" applyBorder="1"/>
    <xf numFmtId="0" fontId="0" fillId="7" borderId="0" xfId="0" applyFill="1" applyBorder="1"/>
    <xf numFmtId="0" fontId="0" fillId="7" borderId="46" xfId="0" applyFill="1" applyBorder="1"/>
    <xf numFmtId="14" fontId="0" fillId="0" borderId="45" xfId="0" applyNumberFormat="1" applyBorder="1" applyAlignment="1">
      <alignment horizontal="right"/>
    </xf>
    <xf numFmtId="0" fontId="6" fillId="0" borderId="0" xfId="0" applyFont="1"/>
    <xf numFmtId="0" fontId="4" fillId="4" borderId="30" xfId="0" applyFont="1" applyFill="1" applyBorder="1" applyAlignment="1" applyProtection="1">
      <alignment horizontal="center"/>
      <protection locked="0"/>
    </xf>
    <xf numFmtId="0" fontId="5" fillId="3" borderId="27" xfId="0" applyFont="1" applyFill="1" applyBorder="1" applyProtection="1">
      <protection locked="0"/>
    </xf>
    <xf numFmtId="2" fontId="5" fillId="3" borderId="25" xfId="0" applyNumberFormat="1" applyFont="1" applyFill="1" applyBorder="1"/>
    <xf numFmtId="2" fontId="0" fillId="4" borderId="20" xfId="0" applyNumberFormat="1" applyFill="1" applyBorder="1" applyAlignment="1">
      <alignment horizontal="center" vertical="center"/>
    </xf>
    <xf numFmtId="2" fontId="0" fillId="6" borderId="9" xfId="0" applyNumberFormat="1" applyFill="1" applyBorder="1" applyAlignment="1">
      <alignment horizontal="center" vertical="center"/>
    </xf>
    <xf numFmtId="4" fontId="0" fillId="6" borderId="8" xfId="0" applyNumberFormat="1" applyFill="1" applyBorder="1" applyAlignment="1">
      <alignment horizontal="center" vertical="center"/>
    </xf>
    <xf numFmtId="170" fontId="4" fillId="4" borderId="21" xfId="0" applyNumberFormat="1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/>
    </xf>
    <xf numFmtId="0" fontId="0" fillId="8" borderId="50" xfId="0" applyFill="1" applyBorder="1" applyAlignment="1">
      <alignment horizontal="center"/>
    </xf>
    <xf numFmtId="0" fontId="6" fillId="8" borderId="29" xfId="0" applyFont="1" applyFill="1" applyBorder="1" applyAlignment="1">
      <alignment vertical="top" wrapText="1"/>
    </xf>
    <xf numFmtId="0" fontId="6" fillId="8" borderId="42" xfId="0" applyFont="1" applyFill="1" applyBorder="1" applyAlignment="1">
      <alignment vertical="top" wrapText="1"/>
    </xf>
    <xf numFmtId="0" fontId="0" fillId="13" borderId="30" xfId="0" applyFill="1" applyBorder="1" applyAlignment="1" applyProtection="1">
      <alignment horizontal="center"/>
      <protection locked="0"/>
    </xf>
    <xf numFmtId="164" fontId="0" fillId="13" borderId="30" xfId="0" applyNumberFormat="1" applyFill="1" applyBorder="1" applyProtection="1">
      <protection locked="0"/>
    </xf>
    <xf numFmtId="0" fontId="6" fillId="12" borderId="0" xfId="0" applyFont="1" applyFill="1" applyBorder="1" applyAlignment="1">
      <alignment horizontal="left"/>
    </xf>
    <xf numFmtId="0" fontId="4" fillId="4" borderId="35" xfId="0" applyFont="1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13" borderId="39" xfId="0" applyFill="1" applyBorder="1" applyAlignment="1" applyProtection="1">
      <alignment horizontal="center"/>
      <protection locked="0"/>
    </xf>
    <xf numFmtId="0" fontId="6" fillId="8" borderId="40" xfId="0" applyFont="1" applyFill="1" applyBorder="1" applyAlignment="1">
      <alignment horizontal="center" vertical="top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51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4" fontId="0" fillId="4" borderId="30" xfId="0" applyNumberFormat="1" applyFill="1" applyBorder="1" applyAlignment="1">
      <alignment horizontal="center"/>
    </xf>
    <xf numFmtId="4" fontId="0" fillId="4" borderId="35" xfId="0" applyNumberFormat="1" applyFill="1" applyBorder="1" applyAlignment="1">
      <alignment horizontal="center"/>
    </xf>
    <xf numFmtId="3" fontId="0" fillId="0" borderId="0" xfId="0" applyNumberFormat="1" applyBorder="1"/>
    <xf numFmtId="0" fontId="7" fillId="11" borderId="0" xfId="0" applyFont="1" applyFill="1" applyAlignment="1">
      <alignment horizontal="center"/>
    </xf>
    <xf numFmtId="0" fontId="6" fillId="8" borderId="35" xfId="0" applyFont="1" applyFill="1" applyBorder="1" applyAlignment="1">
      <alignment horizontal="center" vertical="center" wrapText="1"/>
    </xf>
    <xf numFmtId="0" fontId="6" fillId="8" borderId="44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9" fillId="7" borderId="34" xfId="0" applyFont="1" applyFill="1" applyBorder="1" applyAlignment="1">
      <alignment horizontal="center"/>
    </xf>
    <xf numFmtId="0" fontId="9" fillId="7" borderId="30" xfId="0" applyFont="1" applyFill="1" applyBorder="1" applyAlignment="1">
      <alignment horizontal="center"/>
    </xf>
    <xf numFmtId="0" fontId="9" fillId="7" borderId="40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left" vertical="center"/>
    </xf>
    <xf numFmtId="0" fontId="4" fillId="4" borderId="34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11" borderId="0" xfId="0" applyFont="1" applyFill="1" applyAlignment="1">
      <alignment horizontal="center" wrapText="1"/>
    </xf>
    <xf numFmtId="14" fontId="3" fillId="5" borderId="5" xfId="0" applyNumberFormat="1" applyFont="1" applyFill="1" applyBorder="1" applyAlignment="1">
      <alignment horizontal="center"/>
    </xf>
    <xf numFmtId="14" fontId="3" fillId="5" borderId="6" xfId="0" applyNumberFormat="1" applyFont="1" applyFill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32"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0.000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[h]:mm:ss;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dd/mm/yy\ h:mm;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dd/mm/yy\ h:mm;@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0.000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0.000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4" formatCode="#,##0.00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5" tint="0.59996337778862885"/>
      </font>
    </dxf>
    <dxf>
      <font>
        <b/>
        <i val="0"/>
        <color theme="6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Cumulation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'Position Report'!$Q$2</c:f>
              <c:strCache>
                <c:ptCount val="1"/>
                <c:pt idx="0">
                  <c:v>Cumul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75000"/>
                  </a:schemeClr>
                </a:gs>
                <a:gs pos="100000">
                  <a:schemeClr val="accent1">
                    <a:lumMod val="60000"/>
                    <a:lumOff val="40000"/>
                  </a:schemeClr>
                </a:gs>
              </a:gsLst>
              <a:lin ang="5400000" scaled="0"/>
            </a:gra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trendline>
            <c:spPr>
              <a:ln>
                <a:solidFill>
                  <a:schemeClr val="tx1">
                    <a:lumMod val="85000"/>
                    <a:lumOff val="15000"/>
                  </a:schemeClr>
                </a:solidFill>
                <a:prstDash val="solid"/>
              </a:ln>
              <a:effectLst/>
            </c:spPr>
            <c:trendlineType val="movingAvg"/>
            <c:period val="3"/>
            <c:dispRSqr val="0"/>
            <c:dispEq val="0"/>
          </c:trendline>
          <c:val>
            <c:numRef>
              <c:f>'Position Report'!$Q$3:$Q$3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471360"/>
        <c:axId val="83915840"/>
      </c:areaChart>
      <c:catAx>
        <c:axId val="115471360"/>
        <c:scaling>
          <c:orientation val="minMax"/>
        </c:scaling>
        <c:delete val="1"/>
        <c:axPos val="b"/>
        <c:majorTickMark val="out"/>
        <c:minorTickMark val="none"/>
        <c:tickLblPos val="nextTo"/>
        <c:crossAx val="83915840"/>
        <c:crosses val="autoZero"/>
        <c:auto val="1"/>
        <c:lblAlgn val="ctr"/>
        <c:lblOffset val="100"/>
        <c:noMultiLvlLbl val="0"/>
      </c:catAx>
      <c:valAx>
        <c:axId val="83915840"/>
        <c:scaling>
          <c:orientation val="minMax"/>
        </c:scaling>
        <c:delete val="0"/>
        <c:axPos val="l"/>
        <c:majorGridlines/>
        <c:numFmt formatCode="#,##0;[Red]#,##0" sourceLinked="0"/>
        <c:majorTickMark val="out"/>
        <c:minorTickMark val="none"/>
        <c:tickLblPos val="nextTo"/>
        <c:crossAx val="115471360"/>
        <c:crosses val="autoZero"/>
        <c:crossBetween val="midCat"/>
      </c:valAx>
      <c:spPr>
        <a:gradFill>
          <a:gsLst>
            <a:gs pos="0">
              <a:schemeClr val="accent3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zero"/>
    <c:showDLblsOverMax val="0"/>
  </c:chart>
  <c:spPr>
    <a:gradFill>
      <a:gsLst>
        <a:gs pos="0">
          <a:schemeClr val="bg1">
            <a:lumMod val="75000"/>
          </a:schemeClr>
        </a:gs>
        <a:gs pos="100000">
          <a:schemeClr val="bg1">
            <a:lumMod val="95000"/>
          </a:schemeClr>
        </a:gs>
      </a:gsLst>
      <a:lin ang="5400000" scaled="0"/>
    </a:gradFill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  <a:effectLst>
      <a:innerShdw blurRad="63500" dist="50800" dir="13500000">
        <a:prstClr val="black">
          <a:alpha val="50000"/>
        </a:prstClr>
      </a:innerShdw>
    </a:effectLst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'Position Report'!$J$2</c:f>
              <c:strCache>
                <c:ptCount val="1"/>
                <c:pt idx="0">
                  <c:v>Gross P/L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  <a:effectLst>
              <a:glow rad="63500">
                <a:schemeClr val="accent1">
                  <a:lumMod val="20000"/>
                  <a:lumOff val="80000"/>
                  <a:alpha val="40000"/>
                </a:schemeClr>
              </a:glow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val>
            <c:numRef>
              <c:f>'Position Report'!$J$3:$J$3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472384"/>
        <c:axId val="83917568"/>
      </c:lineChart>
      <c:catAx>
        <c:axId val="115472384"/>
        <c:scaling>
          <c:orientation val="minMax"/>
        </c:scaling>
        <c:delete val="1"/>
        <c:axPos val="b"/>
        <c:majorTickMark val="none"/>
        <c:minorTickMark val="none"/>
        <c:tickLblPos val="nextTo"/>
        <c:crossAx val="83917568"/>
        <c:crosses val="autoZero"/>
        <c:auto val="1"/>
        <c:lblAlgn val="ctr"/>
        <c:lblOffset val="100"/>
        <c:noMultiLvlLbl val="0"/>
      </c:catAx>
      <c:valAx>
        <c:axId val="83917568"/>
        <c:scaling>
          <c:orientation val="minMax"/>
        </c:scaling>
        <c:delete val="0"/>
        <c:axPos val="l"/>
        <c:majorGridlines/>
        <c:numFmt formatCode="#,##0;[Red]#,##0" sourceLinked="0"/>
        <c:majorTickMark val="none"/>
        <c:minorTickMark val="none"/>
        <c:tickLblPos val="nextTo"/>
        <c:crossAx val="115472384"/>
        <c:crosses val="autoZero"/>
        <c:crossBetween val="between"/>
      </c:valAx>
      <c:spPr>
        <a:gradFill>
          <a:gsLst>
            <a:gs pos="0">
              <a:schemeClr val="accent3">
                <a:lumMod val="40000"/>
                <a:lumOff val="60000"/>
              </a:schemeClr>
            </a:gs>
            <a:gs pos="100000">
              <a:schemeClr val="bg1">
                <a:lumMod val="95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bg1">
            <a:lumMod val="75000"/>
          </a:schemeClr>
        </a:gs>
        <a:gs pos="100000">
          <a:schemeClr val="bg1">
            <a:lumMod val="95000"/>
          </a:schemeClr>
        </a:gs>
      </a:gsLst>
      <a:lin ang="5400000" scaled="0"/>
    </a:gradFill>
    <a:effectLst>
      <a:innerShdw blurRad="63500" dist="50800" dir="13500000">
        <a:prstClr val="black">
          <a:alpha val="50000"/>
        </a:prstClr>
      </a:innerShd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Cumulation</a:t>
            </a:r>
          </a:p>
        </c:rich>
      </c:tx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'Position Report'!$Q$2</c:f>
              <c:strCache>
                <c:ptCount val="1"/>
                <c:pt idx="0">
                  <c:v>Cumul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75000"/>
                  </a:schemeClr>
                </a:gs>
                <a:gs pos="100000">
                  <a:schemeClr val="accent1">
                    <a:lumMod val="60000"/>
                    <a:lumOff val="40000"/>
                  </a:schemeClr>
                </a:gs>
              </a:gsLst>
              <a:lin ang="5400000" scaled="0"/>
            </a:gra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trendline>
            <c:spPr>
              <a:ln>
                <a:solidFill>
                  <a:schemeClr val="tx1">
                    <a:lumMod val="85000"/>
                    <a:lumOff val="15000"/>
                  </a:schemeClr>
                </a:solidFill>
                <a:prstDash val="solid"/>
              </a:ln>
              <a:effectLst/>
            </c:spPr>
            <c:trendlineType val="movingAvg"/>
            <c:period val="3"/>
            <c:dispRSqr val="0"/>
            <c:dispEq val="0"/>
          </c:trendline>
          <c:val>
            <c:numRef>
              <c:f>'Position Report'!$Q$3:$Q$3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43424"/>
        <c:axId val="115590272"/>
      </c:areaChart>
      <c:catAx>
        <c:axId val="133543424"/>
        <c:scaling>
          <c:orientation val="minMax"/>
        </c:scaling>
        <c:delete val="1"/>
        <c:axPos val="b"/>
        <c:majorTickMark val="out"/>
        <c:minorTickMark val="none"/>
        <c:tickLblPos val="nextTo"/>
        <c:crossAx val="115590272"/>
        <c:crosses val="autoZero"/>
        <c:auto val="1"/>
        <c:lblAlgn val="ctr"/>
        <c:lblOffset val="100"/>
        <c:noMultiLvlLbl val="0"/>
      </c:catAx>
      <c:valAx>
        <c:axId val="115590272"/>
        <c:scaling>
          <c:orientation val="minMax"/>
        </c:scaling>
        <c:delete val="0"/>
        <c:axPos val="l"/>
        <c:majorGridlines/>
        <c:numFmt formatCode="#,##0;[Red]#,##0" sourceLinked="0"/>
        <c:majorTickMark val="out"/>
        <c:minorTickMark val="none"/>
        <c:tickLblPos val="nextTo"/>
        <c:crossAx val="133543424"/>
        <c:crosses val="autoZero"/>
        <c:crossBetween val="midCat"/>
      </c:valAx>
      <c:spPr>
        <a:gradFill>
          <a:gsLst>
            <a:gs pos="0">
              <a:schemeClr val="accent3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</a:gradFill>
      </c:spPr>
    </c:plotArea>
    <c:plotVisOnly val="1"/>
    <c:dispBlanksAs val="zero"/>
    <c:showDLblsOverMax val="0"/>
  </c:chart>
  <c:spPr>
    <a:gradFill>
      <a:gsLst>
        <a:gs pos="0">
          <a:schemeClr val="bg1">
            <a:lumMod val="75000"/>
          </a:schemeClr>
        </a:gs>
        <a:gs pos="100000">
          <a:schemeClr val="bg1">
            <a:lumMod val="95000"/>
          </a:schemeClr>
        </a:gs>
      </a:gsLst>
      <a:lin ang="5400000" scaled="0"/>
    </a:gradFill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  <a:effectLst>
      <a:innerShdw blurRad="63500" dist="50800" dir="13500000">
        <a:prstClr val="black">
          <a:alpha val="50000"/>
        </a:prstClr>
      </a:innerShd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'Position Report'!$J$2</c:f>
              <c:strCache>
                <c:ptCount val="1"/>
                <c:pt idx="0">
                  <c:v>Gross P/L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  <a:effectLst>
              <a:glow rad="63500">
                <a:schemeClr val="accent1">
                  <a:lumMod val="20000"/>
                  <a:lumOff val="80000"/>
                  <a:alpha val="40000"/>
                </a:schemeClr>
              </a:glow>
              <a:outerShdw blurRad="50800" dist="38100" dir="13500000" algn="br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val>
            <c:numRef>
              <c:f>'Position Report'!$J$3:$J$3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543936"/>
        <c:axId val="115592000"/>
      </c:lineChart>
      <c:catAx>
        <c:axId val="133543936"/>
        <c:scaling>
          <c:orientation val="minMax"/>
        </c:scaling>
        <c:delete val="1"/>
        <c:axPos val="b"/>
        <c:majorTickMark val="none"/>
        <c:minorTickMark val="none"/>
        <c:tickLblPos val="nextTo"/>
        <c:crossAx val="115592000"/>
        <c:crosses val="autoZero"/>
        <c:auto val="1"/>
        <c:lblAlgn val="ctr"/>
        <c:lblOffset val="100"/>
        <c:noMultiLvlLbl val="0"/>
      </c:catAx>
      <c:valAx>
        <c:axId val="115592000"/>
        <c:scaling>
          <c:orientation val="minMax"/>
        </c:scaling>
        <c:delete val="0"/>
        <c:axPos val="l"/>
        <c:majorGridlines/>
        <c:numFmt formatCode="#,##0;[Red]#,##0" sourceLinked="0"/>
        <c:majorTickMark val="none"/>
        <c:minorTickMark val="none"/>
        <c:tickLblPos val="nextTo"/>
        <c:crossAx val="133543936"/>
        <c:crosses val="autoZero"/>
        <c:crossBetween val="between"/>
      </c:valAx>
      <c:spPr>
        <a:gradFill>
          <a:gsLst>
            <a:gs pos="0">
              <a:schemeClr val="accent3">
                <a:lumMod val="40000"/>
                <a:lumOff val="60000"/>
              </a:schemeClr>
            </a:gs>
            <a:gs pos="100000">
              <a:schemeClr val="bg1">
                <a:lumMod val="95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chemeClr val="bg1">
            <a:lumMod val="75000"/>
          </a:schemeClr>
        </a:gs>
        <a:gs pos="100000">
          <a:schemeClr val="bg1">
            <a:lumMod val="95000"/>
          </a:schemeClr>
        </a:gs>
      </a:gsLst>
      <a:lin ang="5400000" scaled="0"/>
    </a:gradFill>
    <a:effectLst>
      <a:innerShdw blurRad="63500" dist="50800" dir="13500000">
        <a:prstClr val="black">
          <a:alpha val="50000"/>
        </a:prstClr>
      </a:inn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285749</xdr:colOff>
      <xdr:row>2</xdr:row>
      <xdr:rowOff>109535</xdr:rowOff>
    </xdr:from>
    <xdr:to>
      <xdr:col>17</xdr:col>
      <xdr:colOff>21599</xdr:colOff>
      <xdr:row>10</xdr:row>
      <xdr:rowOff>257174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285749</xdr:colOff>
      <xdr:row>10</xdr:row>
      <xdr:rowOff>557211</xdr:rowOff>
    </xdr:from>
    <xdr:to>
      <xdr:col>17</xdr:col>
      <xdr:colOff>21599</xdr:colOff>
      <xdr:row>26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690000</xdr:colOff>
      <xdr:row>15</xdr:row>
      <xdr:rowOff>176214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20</xdr:row>
      <xdr:rowOff>76201</xdr:rowOff>
    </xdr:from>
    <xdr:to>
      <xdr:col>17</xdr:col>
      <xdr:colOff>690000</xdr:colOff>
      <xdr:row>38</xdr:row>
      <xdr:rowOff>23815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2:W3" totalsRowShown="0" headerRowDxfId="25" dataDxfId="24">
  <autoFilter ref="A2:W3"/>
  <tableColumns count="23">
    <tableColumn id="1" name="Position ID" dataDxfId="23"/>
    <tableColumn id="2" name="Side" dataDxfId="22"/>
    <tableColumn id="3" name="Instrument" dataDxfId="21"/>
    <tableColumn id="4" name="Amount" dataDxfId="20"/>
    <tableColumn id="5" name="Open Price" dataDxfId="19"/>
    <tableColumn id="6" name="Close Price" dataDxfId="18"/>
    <tableColumn id="7" name="P/L" dataDxfId="17"/>
    <tableColumn id="8" name="Swaps" dataDxfId="16"/>
    <tableColumn id="10" name="Vol. commision" dataDxfId="15"/>
    <tableColumn id="9" name="Gross P/L" dataDxfId="14">
      <calculatedColumnFormula>SUM(Tableau2[[#This Row],[P/L]:[Vol. commision]])</calculatedColumnFormula>
    </tableColumn>
    <tableColumn id="11" name="Open Date" dataDxfId="13"/>
    <tableColumn id="12" name="Close Date" dataDxfId="12"/>
    <tableColumn id="13" name="Duration" dataDxfId="11">
      <calculatedColumnFormula>Tableau2[[#This Row],[Close Date]]-Tableau2[[#This Row],[Open Date]]</calculatedColumnFormula>
    </tableColumn>
    <tableColumn id="14" name="SL" dataDxfId="10"/>
    <tableColumn id="15" name="TP" dataDxfId="9"/>
    <tableColumn id="16" name="TL" dataDxfId="8"/>
    <tableColumn id="19" name="Cumul" dataDxfId="7">
      <calculatedColumnFormula>SUM(OFFSET($A2,1,9),OFFSET($A2,0,16))</calculatedColumnFormula>
    </tableColumn>
    <tableColumn id="17" name="P/L in Pip" dataDxfId="6">
      <calculatedColumnFormula>IF('Position Report'!$G3&gt;0,ABS(('Position Report'!$F3-'Position Report'!$E3)*IF(COUNTIF(C3,"*JPY*")=1,100,10000)),-ABS(('Position Report'!$F3-'Position Report'!$E3)*IF(COUNTIF(C3,"*JPY*")=1,100,10000)))</calculatedColumnFormula>
    </tableColumn>
    <tableColumn id="18" name="Comments" dataDxfId="5"/>
    <tableColumn id="20" name="signe" dataDxfId="4">
      <calculatedColumnFormula>SIGN(Tableau2[[#This Row],[P/L in Pip]])</calculatedColumnFormula>
    </tableColumn>
    <tableColumn id="21" name="signe decaler" dataDxfId="3">
      <calculatedColumnFormula>IF(ISNUMBER(OFFSET($A2,0,19)),OFFSET($A2,0,19),OFFSET($A2,1,19))</calculatedColumnFormula>
    </tableColumn>
    <tableColumn id="22" name="Cumul p/l" dataDxfId="2">
      <calculatedColumnFormula>IF(Tableau2[[#This Row],[signe]]=Tableau2[[#This Row],[signe decaler]],SUM(OFFSET($A3,0,19),OFFSET($A3,-1,21)),OFFSET($A3,0,19))</calculatedColumnFormula>
    </tableColumn>
    <tableColumn id="23" name="Cumul in money" dataDxfId="1">
      <calculatedColumnFormula>IF(Tableau2[[#This Row],[Cumul p/l]]&lt;&gt;0,SUM(OFFSET($A2,1,9),OFFSET($A2,0,16)),0)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4"/>
  <sheetViews>
    <sheetView tabSelected="1" zoomScaleNormal="100" workbookViewId="0">
      <selection activeCell="I12" sqref="I12"/>
    </sheetView>
  </sheetViews>
  <sheetFormatPr baseColWidth="10" defaultRowHeight="15" x14ac:dyDescent="0.25"/>
  <cols>
    <col min="1" max="1" width="19.7109375" customWidth="1"/>
    <col min="3" max="3" width="19.140625" customWidth="1"/>
    <col min="4" max="4" width="14.42578125" customWidth="1"/>
    <col min="5" max="5" width="18.42578125" customWidth="1"/>
    <col min="6" max="6" width="13" customWidth="1"/>
    <col min="7" max="7" width="19.7109375" customWidth="1"/>
    <col min="8" max="8" width="17.7109375" customWidth="1"/>
    <col min="9" max="9" width="17.5703125" customWidth="1"/>
    <col min="10" max="10" width="14.28515625" customWidth="1"/>
    <col min="12" max="12" width="18" customWidth="1"/>
  </cols>
  <sheetData>
    <row r="1" spans="1:17" ht="24.75" x14ac:dyDescent="0.5">
      <c r="A1" s="120" t="s">
        <v>76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</row>
    <row r="2" spans="1:17" ht="15.75" thickBot="1" x14ac:dyDescent="0.3">
      <c r="A2" s="22"/>
      <c r="B2" s="22"/>
      <c r="C2" s="22"/>
      <c r="D2" s="22"/>
      <c r="E2" s="22"/>
      <c r="F2" s="22"/>
      <c r="G2" s="22"/>
      <c r="H2" s="22"/>
      <c r="I2" s="22"/>
    </row>
    <row r="3" spans="1:17" ht="21" thickBot="1" x14ac:dyDescent="0.45">
      <c r="A3" s="127" t="s">
        <v>60</v>
      </c>
      <c r="B3" s="128"/>
      <c r="C3" s="128"/>
      <c r="D3" s="128"/>
      <c r="E3" s="128"/>
      <c r="F3" s="128"/>
      <c r="G3" s="128"/>
      <c r="H3" s="129"/>
      <c r="I3" s="26"/>
    </row>
    <row r="4" spans="1:17" x14ac:dyDescent="0.25">
      <c r="A4" s="50" t="s">
        <v>55</v>
      </c>
      <c r="B4" s="51" t="str">
        <f>DDEJFOREX!L2</f>
        <v>EUR</v>
      </c>
      <c r="C4" s="52" t="str">
        <f>CONCATENATE("Total Deposit in ",Currency)</f>
        <v>Total Deposit in EUR</v>
      </c>
      <c r="D4" s="53">
        <f>SUM(Deposit)</f>
        <v>100000</v>
      </c>
      <c r="E4" s="52" t="str">
        <f>CONCATENATE("Base Equity in ",Currency)</f>
        <v>Base Equity in EUR</v>
      </c>
      <c r="F4" s="53">
        <f>DDEJFOREX!L3</f>
        <v>100000</v>
      </c>
      <c r="G4" s="52" t="str">
        <f>CONCATENATE("Balance in ",Currency)</f>
        <v>Balance in EUR</v>
      </c>
      <c r="H4" s="91">
        <f>DDEJFOREX!L4</f>
        <v>100000</v>
      </c>
    </row>
    <row r="5" spans="1:17" ht="15.75" thickBot="1" x14ac:dyDescent="0.3">
      <c r="A5" s="54" t="s">
        <v>13</v>
      </c>
      <c r="B5" s="90">
        <f>DDEJFOREX!L5</f>
        <v>100</v>
      </c>
      <c r="C5" s="54" t="str">
        <f>CONCATENATE("Total PL in ",Currency)</f>
        <v>Total PL in EUR</v>
      </c>
      <c r="D5" s="55">
        <f>SUM('Position Report'!J:J)</f>
        <v>0</v>
      </c>
      <c r="E5" s="54" t="s">
        <v>40</v>
      </c>
      <c r="F5" s="56">
        <f>(D5/D4)</f>
        <v>0</v>
      </c>
      <c r="G5" s="54" t="str">
        <f>CONCATENATE("Free trading line in ",Currency)</f>
        <v>Free trading line in EUR</v>
      </c>
      <c r="H5" s="55">
        <f>H4*B5</f>
        <v>10000000</v>
      </c>
    </row>
    <row r="6" spans="1:17" ht="15.75" thickBot="1" x14ac:dyDescent="0.3">
      <c r="A6" s="24"/>
      <c r="B6" s="24"/>
      <c r="C6" s="24"/>
      <c r="D6" s="25"/>
      <c r="E6" s="24"/>
      <c r="F6" s="27"/>
      <c r="G6" s="24"/>
      <c r="H6" s="24"/>
    </row>
    <row r="7" spans="1:17" ht="20.25" thickTop="1" x14ac:dyDescent="0.4">
      <c r="A7" s="136" t="s">
        <v>61</v>
      </c>
      <c r="B7" s="137"/>
      <c r="C7" s="137"/>
      <c r="D7" s="137"/>
      <c r="E7" s="137"/>
      <c r="F7" s="137"/>
      <c r="G7" s="137"/>
      <c r="H7" s="137"/>
      <c r="I7" s="137"/>
      <c r="J7" s="138"/>
    </row>
    <row r="8" spans="1:17" ht="51" customHeight="1" x14ac:dyDescent="0.25">
      <c r="A8" s="41"/>
      <c r="B8" s="38" t="s">
        <v>58</v>
      </c>
      <c r="C8" s="39" t="s">
        <v>44</v>
      </c>
      <c r="D8" s="38" t="str">
        <f>CONCATENATE("Gross P/L in ",Currency)</f>
        <v>Gross P/L in EUR</v>
      </c>
      <c r="E8" s="40" t="str">
        <f>CONCATENATE("Average per trade in ",Currency)</f>
        <v>Average per trade in EUR</v>
      </c>
      <c r="F8" s="42" t="str">
        <f>CONCATENATE("Largest trade in ",Currency)</f>
        <v>Largest trade in EUR</v>
      </c>
      <c r="G8" s="100" t="s">
        <v>83</v>
      </c>
      <c r="H8" s="96" t="str">
        <f>CONCATENATE("Max consecutive wins in ",Currency)</f>
        <v>Max consecutive wins in EUR</v>
      </c>
      <c r="I8" s="40" t="str">
        <f>CONCATENATE("Absolute drawdown in ",Currency)</f>
        <v>Absolute drawdown in EUR</v>
      </c>
      <c r="J8" s="49" t="s">
        <v>45</v>
      </c>
    </row>
    <row r="9" spans="1:17" ht="45" customHeight="1" thickBot="1" x14ac:dyDescent="0.3">
      <c r="A9" s="36" t="s">
        <v>43</v>
      </c>
      <c r="B9" s="30">
        <f>COUNT('Position Report'!J:J)</f>
        <v>1</v>
      </c>
      <c r="C9" s="32"/>
      <c r="D9" s="31">
        <f>D5</f>
        <v>0</v>
      </c>
      <c r="E9" s="93">
        <f>D5/B9</f>
        <v>0</v>
      </c>
      <c r="F9" s="45">
        <f>MAX('Position Report'!J:J)</f>
        <v>0</v>
      </c>
      <c r="G9" s="101">
        <f ca="1">MAX('Position Report'!V:V)</f>
        <v>0</v>
      </c>
      <c r="H9" s="97">
        <f t="array" aca="1" ref="H9" ca="1">INDIRECT("'Position Report'!"&amp;ADDRESS(MATCH(MAX('Position Report'!V:V),'Position Report'!V:V,0),23))</f>
        <v>0</v>
      </c>
      <c r="I9" s="48">
        <f ca="1">(MIN('Position Report'!Q:Q))</f>
        <v>0</v>
      </c>
      <c r="J9" s="92" t="e">
        <f>D10/D11</f>
        <v>#DIV/0!</v>
      </c>
    </row>
    <row r="10" spans="1:17" ht="45" customHeight="1" x14ac:dyDescent="0.25">
      <c r="A10" s="35" t="s">
        <v>42</v>
      </c>
      <c r="B10" s="30">
        <f>COUNTIF('Position Report'!J:J,"&gt;0")</f>
        <v>0</v>
      </c>
      <c r="C10" s="33">
        <f>B10/B9</f>
        <v>0</v>
      </c>
      <c r="D10" s="30">
        <f>SUMIF('Position Report'!J:J,"&gt;0",'Position Report'!J:J)</f>
        <v>0</v>
      </c>
      <c r="E10" s="93" t="e">
        <f>AVERAGEIF('Position Report'!J:J,"&gt;0",'Position Report'!J:J)</f>
        <v>#DIV/0!</v>
      </c>
      <c r="F10" s="44" t="str">
        <f>CONCATENATE("Lowest trade in ",Currency)</f>
        <v>Lowest trade in EUR</v>
      </c>
      <c r="G10" s="102" t="s">
        <v>84</v>
      </c>
      <c r="H10" s="98" t="str">
        <f>CONCATENATE("Max consecutive losses in ",Currency)</f>
        <v>Max consecutive losses in EUR</v>
      </c>
      <c r="I10" s="47" t="s">
        <v>57</v>
      </c>
      <c r="J10" s="95" t="s">
        <v>46</v>
      </c>
    </row>
    <row r="11" spans="1:17" ht="45" customHeight="1" thickBot="1" x14ac:dyDescent="0.3">
      <c r="A11" s="37" t="s">
        <v>41</v>
      </c>
      <c r="B11" s="29">
        <f>COUNTIF('Position Report'!J:J,"&lt;0")</f>
        <v>0</v>
      </c>
      <c r="C11" s="34">
        <f>B11/B9</f>
        <v>0</v>
      </c>
      <c r="D11" s="29">
        <f>ABS(SUMIF('Position Report'!J:J,"&lt;0",'Position Report'!J:J))</f>
        <v>0</v>
      </c>
      <c r="E11" s="94" t="e">
        <f>AVERAGEIF('Position Report'!J:J,"&lt;0",'Position Report'!J:J)</f>
        <v>#DIV/0!</v>
      </c>
      <c r="F11" s="43">
        <f>MIN('Position Report'!J:J)</f>
        <v>0</v>
      </c>
      <c r="G11" s="103">
        <f ca="1">ABS(MIN('Position Report'!V:V)-1)</f>
        <v>1</v>
      </c>
      <c r="H11" s="99">
        <f t="array" aca="1" ref="H11" ca="1">INDIRECT("'Position Report'!"&amp;ADDRESS(MATCH(MIN('Position Report'!V:V),'Position Report'!V:V,0),23))</f>
        <v>0</v>
      </c>
      <c r="I11" s="46">
        <f ca="1">I9/D4</f>
        <v>0</v>
      </c>
      <c r="J11" s="28">
        <f>(C10-C11)/B9</f>
        <v>0</v>
      </c>
    </row>
    <row r="12" spans="1:17" ht="16.5" thickTop="1" thickBot="1" x14ac:dyDescent="0.3"/>
    <row r="13" spans="1:17" ht="20.25" thickBot="1" x14ac:dyDescent="0.3">
      <c r="B13" s="57"/>
      <c r="C13" s="132" t="s">
        <v>68</v>
      </c>
      <c r="D13" s="133"/>
      <c r="E13" s="133"/>
      <c r="F13" s="133"/>
      <c r="G13" s="134"/>
    </row>
    <row r="14" spans="1:17" ht="34.5" customHeight="1" x14ac:dyDescent="0.25">
      <c r="C14" s="130" t="s">
        <v>72</v>
      </c>
      <c r="D14" s="114" t="s">
        <v>56</v>
      </c>
      <c r="E14" s="115" t="s">
        <v>75</v>
      </c>
      <c r="F14" s="114" t="str">
        <f>CONCATENATE("Max loss in ",Currency)</f>
        <v>Max loss in EUR</v>
      </c>
      <c r="G14" s="116" t="str">
        <f>CONCATENATE("Expected Gain in ",Currency)</f>
        <v>Expected Gain in EUR</v>
      </c>
    </row>
    <row r="15" spans="1:17" x14ac:dyDescent="0.25">
      <c r="C15" s="131"/>
      <c r="D15" s="107">
        <v>3</v>
      </c>
      <c r="E15" s="112">
        <v>3</v>
      </c>
      <c r="F15" s="117">
        <f>((F4/100)*D15)</f>
        <v>3000</v>
      </c>
      <c r="G15" s="118">
        <f>F15*E15</f>
        <v>9000</v>
      </c>
    </row>
    <row r="16" spans="1:17" x14ac:dyDescent="0.25">
      <c r="C16" s="65"/>
      <c r="D16" s="58"/>
      <c r="E16" s="73" t="s">
        <v>8</v>
      </c>
      <c r="F16" s="75" t="s">
        <v>9</v>
      </c>
      <c r="G16" s="110" t="s">
        <v>10</v>
      </c>
    </row>
    <row r="17" spans="3:7" x14ac:dyDescent="0.25">
      <c r="C17" s="65" t="s">
        <v>73</v>
      </c>
      <c r="D17" s="89" t="s">
        <v>3</v>
      </c>
      <c r="E17" s="74">
        <f>VLOOKUP(D17,Instruments,2,FALSE)</f>
        <v>1.2585299999999999</v>
      </c>
      <c r="F17" s="72">
        <f>VLOOKUP(D17,Instruments,3,FALSE)</f>
        <v>1.2584299999999999</v>
      </c>
      <c r="G17" s="111">
        <f>VLOOKUP(D17,Instruments,4,FALSE)</f>
        <v>0.99999999999988987</v>
      </c>
    </row>
    <row r="18" spans="3:7" x14ac:dyDescent="0.25">
      <c r="C18" s="65" t="s">
        <v>74</v>
      </c>
      <c r="D18" s="89" t="s">
        <v>35</v>
      </c>
      <c r="E18" s="59"/>
      <c r="F18" s="59"/>
      <c r="G18" s="64"/>
    </row>
    <row r="19" spans="3:7" ht="18.75" x14ac:dyDescent="0.4">
      <c r="C19" s="124" t="s">
        <v>62</v>
      </c>
      <c r="D19" s="125"/>
      <c r="E19" s="125"/>
      <c r="F19" s="125"/>
      <c r="G19" s="126"/>
    </row>
    <row r="20" spans="3:7" ht="15" customHeight="1" x14ac:dyDescent="0.25">
      <c r="C20" s="65" t="s">
        <v>47</v>
      </c>
      <c r="D20" s="60">
        <f>IF(D18="SHORT",F15/(VLOOKUP(D17,Instruments,6,FALSE)*Dashboard!F20),F15/(VLOOKUP(D17,Instruments,5,FALSE)*Dashboard!F20))</f>
        <v>1258340.1394735202</v>
      </c>
      <c r="E20" s="58" t="s">
        <v>63</v>
      </c>
      <c r="F20" s="107">
        <v>30</v>
      </c>
      <c r="G20" s="113" t="str">
        <f>IF(F20&lt;0,"Error: you cannot set a negative pip value","")</f>
        <v/>
      </c>
    </row>
    <row r="21" spans="3:7" x14ac:dyDescent="0.25">
      <c r="C21" s="65" t="s">
        <v>52</v>
      </c>
      <c r="D21" s="71">
        <f>IF(D18="SHORT",F17+(F20/VLOOKUP(D17,Instruments,8,FALSE)),E17-(F20/VLOOKUP(D17,Instruments,8,FALSE)))</f>
        <v>1.2614299999999998</v>
      </c>
      <c r="E21" s="104"/>
      <c r="F21" s="76"/>
      <c r="G21" s="105"/>
    </row>
    <row r="22" spans="3:7" x14ac:dyDescent="0.25">
      <c r="C22" s="65" t="s">
        <v>54</v>
      </c>
      <c r="D22" s="71">
        <f>IF(D18="SHORT",F17-(F20*E15/VLOOKUP(D17,Instruments,8,FALSE)),E17+(F20*E15/VLOOKUP(D17,Instruments,8,FALSE)))</f>
        <v>1.24943</v>
      </c>
      <c r="E22" s="78"/>
      <c r="F22" s="77"/>
      <c r="G22" s="106"/>
    </row>
    <row r="23" spans="3:7" ht="18.75" x14ac:dyDescent="0.4">
      <c r="C23" s="124" t="s">
        <v>100</v>
      </c>
      <c r="D23" s="125"/>
      <c r="E23" s="125"/>
      <c r="F23" s="125"/>
      <c r="G23" s="135"/>
    </row>
    <row r="24" spans="3:7" ht="15" customHeight="1" x14ac:dyDescent="0.25">
      <c r="C24" s="65" t="s">
        <v>64</v>
      </c>
      <c r="D24" s="108">
        <v>1.2609999999999999</v>
      </c>
      <c r="E24" s="59" t="s">
        <v>69</v>
      </c>
      <c r="F24" s="61">
        <f>IF(D18="SHORT",ABS((D24-F17)*VLOOKUP(D17,Instruments,8,FALSE)),ABS((E17-D24)*VLOOKUP(D17,Instruments,8,FALSE)))</f>
        <v>25.699999999999612</v>
      </c>
      <c r="G24" s="121" t="str">
        <f>IF(OR(AND(D18="SHORT",D24&gt;F17),(AND(D18="LONG",D24&lt;E17))),"","Error: you cannot be long with a SL greater than the spot or short with a SL lesser than the spot")</f>
        <v/>
      </c>
    </row>
    <row r="25" spans="3:7" x14ac:dyDescent="0.25">
      <c r="C25" s="65" t="s">
        <v>47</v>
      </c>
      <c r="D25" s="62">
        <f>IF(D18="SHORT",(F15/VLOOKUP(D17,Instruments,6,FALSE))/Dashboard!F24,(F15/VLOOKUP(D17,Instruments,5,FALSE))/Dashboard!F24)</f>
        <v>1468879.5402414855</v>
      </c>
      <c r="E25" s="79"/>
      <c r="F25" s="80"/>
      <c r="G25" s="122"/>
    </row>
    <row r="26" spans="3:7" x14ac:dyDescent="0.25">
      <c r="C26" s="65" t="s">
        <v>65</v>
      </c>
      <c r="D26" s="70">
        <f>IF(D18="SHORT",F17-(F26/VLOOKUP(D17,Instruments,8,FALSE)),E17+(F26/(VLOOKUP(D17,Instruments,8,FALSE))))</f>
        <v>1.2507200000000001</v>
      </c>
      <c r="E26" s="59" t="s">
        <v>70</v>
      </c>
      <c r="F26" s="59">
        <f>F24*E15</f>
        <v>77.099999999998829</v>
      </c>
      <c r="G26" s="121"/>
    </row>
    <row r="27" spans="3:7" ht="18.75" x14ac:dyDescent="0.4">
      <c r="C27" s="124" t="s">
        <v>66</v>
      </c>
      <c r="D27" s="125"/>
      <c r="E27" s="125"/>
      <c r="F27" s="125"/>
      <c r="G27" s="135"/>
    </row>
    <row r="28" spans="3:7" ht="15" customHeight="1" x14ac:dyDescent="0.25">
      <c r="C28" s="65" t="s">
        <v>67</v>
      </c>
      <c r="D28" s="108">
        <v>1.2509999999999999</v>
      </c>
      <c r="E28" s="59" t="s">
        <v>70</v>
      </c>
      <c r="F28" s="61">
        <f>IF(D18="SHORT",ABS((D28-F17)*VLOOKUP(D17,Instruments,8,FALSE)),ABS((E17-D28)*VLOOKUP(D17,Instruments,8,FALSE)))</f>
        <v>74.30000000000048</v>
      </c>
      <c r="G28" s="121" t="str">
        <f>IF(OR(AND(D18="SHORT",D28&lt;F17),(AND(D18="LONG",D28&gt;E17))),"","Error: you cannot be long with a SL greater than the spot or short with a SL lesser than the spot")</f>
        <v/>
      </c>
    </row>
    <row r="29" spans="3:7" x14ac:dyDescent="0.25">
      <c r="C29" s="65" t="s">
        <v>47</v>
      </c>
      <c r="D29" s="63">
        <f>IF(D18="SHORT",((F15*E15)/VLOOKUP(D17,Instruments,6,FALSE))/Dashboard!F28,((F15*E15)/VLOOKUP(D17,Instruments,5,FALSE))/Dashboard!F28)</f>
        <v>1524234.3546785477</v>
      </c>
      <c r="E29" s="81"/>
      <c r="F29" s="80"/>
      <c r="G29" s="122"/>
    </row>
    <row r="30" spans="3:7" ht="15.75" thickBot="1" x14ac:dyDescent="0.3">
      <c r="C30" s="68" t="s">
        <v>52</v>
      </c>
      <c r="D30" s="69">
        <f>IF(D18="SHORT",F17+(F30/VLOOKUP(D17,Instruments,8,FALSE)),E17-(F30/(VLOOKUP(D17,Instruments,8,FALSE))))</f>
        <v>1.2609066666666666</v>
      </c>
      <c r="E30" s="66" t="s">
        <v>71</v>
      </c>
      <c r="F30" s="67">
        <f>F28/E15</f>
        <v>24.766666666666826</v>
      </c>
      <c r="G30" s="123"/>
    </row>
    <row r="32" spans="3:7" x14ac:dyDescent="0.25">
      <c r="C32" s="109" t="s">
        <v>85</v>
      </c>
    </row>
    <row r="34" spans="3:3" x14ac:dyDescent="0.25">
      <c r="C34" s="88" t="s">
        <v>77</v>
      </c>
    </row>
  </sheetData>
  <sheetProtection password="C724" sheet="1" objects="1" scenarios="1"/>
  <mergeCells count="10">
    <mergeCell ref="A1:Q1"/>
    <mergeCell ref="G28:G30"/>
    <mergeCell ref="G24:G26"/>
    <mergeCell ref="C19:G19"/>
    <mergeCell ref="A3:H3"/>
    <mergeCell ref="C14:C15"/>
    <mergeCell ref="C13:G13"/>
    <mergeCell ref="C23:G23"/>
    <mergeCell ref="C27:G27"/>
    <mergeCell ref="A7:J7"/>
  </mergeCells>
  <conditionalFormatting sqref="D5">
    <cfRule type="cellIs" dxfId="31" priority="8" operator="greaterThan">
      <formula>0</formula>
    </cfRule>
    <cfRule type="cellIs" dxfId="30" priority="9" operator="lessThan">
      <formula>0</formula>
    </cfRule>
  </conditionalFormatting>
  <conditionalFormatting sqref="D9">
    <cfRule type="cellIs" dxfId="29" priority="6" operator="lessThan">
      <formula>0</formula>
    </cfRule>
    <cfRule type="cellIs" dxfId="28" priority="7" operator="greaterThan">
      <formula>0</formula>
    </cfRule>
  </conditionalFormatting>
  <conditionalFormatting sqref="E25 G24 G28">
    <cfRule type="containsText" dxfId="27" priority="4" operator="containsText" text="Error: you cannot be long with a SL greater than the spot or short with a SL lesser than the spot">
      <formula>NOT(ISERROR(SEARCH("Error: you cannot be long with a SL greater than the spot or short with a SL lesser than the spot",E24)))</formula>
    </cfRule>
  </conditionalFormatting>
  <conditionalFormatting sqref="G20">
    <cfRule type="containsText" dxfId="26" priority="1" operator="containsText" text="Error: you cannot set a negative pip value">
      <formula>NOT(ISERROR(SEARCH("Error: you cannot set a negative pip value",G20)))</formula>
    </cfRule>
  </conditionalFormatting>
  <dataValidations count="1">
    <dataValidation type="list" allowBlank="1" showInputMessage="1" showErrorMessage="1" sqref="D18">
      <formula1>LongorShort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DDEJFOREX!$A$3:$A$23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3"/>
  <sheetViews>
    <sheetView workbookViewId="0">
      <selection activeCell="L5" sqref="L5"/>
    </sheetView>
  </sheetViews>
  <sheetFormatPr baseColWidth="10" defaultRowHeight="15" x14ac:dyDescent="0.25"/>
  <cols>
    <col min="5" max="5" width="16.5703125" customWidth="1"/>
    <col min="6" max="6" width="17.28515625" customWidth="1"/>
    <col min="9" max="9" width="14.7109375" customWidth="1"/>
  </cols>
  <sheetData>
    <row r="1" spans="1:15" x14ac:dyDescent="0.25">
      <c r="A1" s="139" t="s">
        <v>11</v>
      </c>
      <c r="B1" s="139"/>
      <c r="C1" s="139"/>
      <c r="D1" s="139"/>
    </row>
    <row r="2" spans="1:15" x14ac:dyDescent="0.25">
      <c r="A2" t="s">
        <v>7</v>
      </c>
      <c r="B2" s="1" t="s">
        <v>8</v>
      </c>
      <c r="C2" t="s">
        <v>9</v>
      </c>
      <c r="D2" t="s">
        <v>10</v>
      </c>
      <c r="E2" t="s">
        <v>51</v>
      </c>
      <c r="F2" t="s">
        <v>50</v>
      </c>
      <c r="G2" t="s">
        <v>12</v>
      </c>
      <c r="H2" t="s">
        <v>53</v>
      </c>
      <c r="K2" t="s">
        <v>16</v>
      </c>
      <c r="L2" s="3" t="s">
        <v>17</v>
      </c>
      <c r="N2" t="s">
        <v>48</v>
      </c>
      <c r="O2" t="s">
        <v>37</v>
      </c>
    </row>
    <row r="3" spans="1:15" x14ac:dyDescent="0.25">
      <c r="A3" s="7" t="s">
        <v>0</v>
      </c>
      <c r="B3" s="4">
        <v>1.0428299999999999</v>
      </c>
      <c r="C3" s="2">
        <v>1.0425899999999999</v>
      </c>
      <c r="D3" s="5">
        <f>IF(COUNTIF(A3,"*JPY*")=1,(B3-C3)*100,(B3-C3)*10000)</f>
        <v>2.4000000000001798</v>
      </c>
      <c r="E3" s="19">
        <v>7.7596678647497296E-5</v>
      </c>
      <c r="F3" s="20">
        <v>7.7608301296453396E-5</v>
      </c>
      <c r="G3" s="6">
        <f>F3*1000</f>
        <v>7.7608301296453394E-2</v>
      </c>
      <c r="H3">
        <f>POWER(10,I3)</f>
        <v>10000</v>
      </c>
      <c r="I3">
        <v>4</v>
      </c>
      <c r="K3" t="s">
        <v>14</v>
      </c>
      <c r="L3" s="3">
        <v>100000</v>
      </c>
      <c r="N3" t="s">
        <v>49</v>
      </c>
      <c r="O3" t="s">
        <v>35</v>
      </c>
    </row>
    <row r="4" spans="1:15" x14ac:dyDescent="0.25">
      <c r="A4" s="7" t="s">
        <v>87</v>
      </c>
      <c r="B4" s="4">
        <v>0.97258999999999995</v>
      </c>
      <c r="C4" s="2">
        <v>0.97238999999999998</v>
      </c>
      <c r="D4" s="5">
        <f t="shared" ref="D4:D23" si="0">IF(COUNTIF(A4,"*JPY*")=1,(B4-C4)*100,(B4-C4)*10000)</f>
        <v>1.9999999999997797</v>
      </c>
      <c r="E4" s="19">
        <v>8.3200212992545194E-5</v>
      </c>
      <c r="F4" s="20">
        <v>8.3212674954649099E-5</v>
      </c>
      <c r="G4" s="6">
        <f t="shared" ref="G4:G23" si="1">F4*100000</f>
        <v>8.3212674954649106</v>
      </c>
      <c r="H4">
        <f t="shared" ref="H4:H23" si="2">POWER(10,I4)</f>
        <v>10000</v>
      </c>
      <c r="I4">
        <v>4</v>
      </c>
      <c r="K4" t="s">
        <v>15</v>
      </c>
      <c r="L4" s="3">
        <v>100000</v>
      </c>
    </row>
    <row r="5" spans="1:15" x14ac:dyDescent="0.25">
      <c r="A5" s="7" t="s">
        <v>88</v>
      </c>
      <c r="B5" s="4">
        <v>80.948999999999998</v>
      </c>
      <c r="C5" s="2">
        <v>80.936999999999998</v>
      </c>
      <c r="D5" s="5">
        <f t="shared" si="0"/>
        <v>1.2000000000000455</v>
      </c>
      <c r="E5" s="19">
        <v>9.9960007680255193E-5</v>
      </c>
      <c r="F5" s="20">
        <v>9.9974979971584799E-5</v>
      </c>
      <c r="G5" s="6">
        <f t="shared" si="1"/>
        <v>9.9974979971584794</v>
      </c>
      <c r="H5">
        <f t="shared" si="2"/>
        <v>100</v>
      </c>
      <c r="I5">
        <v>2</v>
      </c>
      <c r="K5" t="s">
        <v>13</v>
      </c>
      <c r="L5" s="3">
        <v>100</v>
      </c>
    </row>
    <row r="6" spans="1:15" x14ac:dyDescent="0.25">
      <c r="A6" s="7" t="s">
        <v>89</v>
      </c>
      <c r="B6" s="4">
        <v>1.0183500000000001</v>
      </c>
      <c r="C6" s="2">
        <v>1.0182100000000001</v>
      </c>
      <c r="D6" s="5">
        <f t="shared" si="0"/>
        <v>1.4000000000002899</v>
      </c>
      <c r="E6" s="19">
        <v>7.9457451411075601E-5</v>
      </c>
      <c r="F6" s="20">
        <v>7.9469352771814196E-5</v>
      </c>
      <c r="G6" s="6">
        <f t="shared" si="1"/>
        <v>7.9469352771814199</v>
      </c>
      <c r="H6">
        <f t="shared" si="2"/>
        <v>10000</v>
      </c>
      <c r="I6">
        <v>4</v>
      </c>
      <c r="L6" s="3"/>
    </row>
    <row r="7" spans="1:15" x14ac:dyDescent="0.25">
      <c r="A7" s="7" t="s">
        <v>90</v>
      </c>
      <c r="B7" s="4">
        <v>0.93279999999999996</v>
      </c>
      <c r="C7" s="2">
        <v>0.9325</v>
      </c>
      <c r="D7" s="5">
        <f t="shared" si="0"/>
        <v>2.9999999999996696</v>
      </c>
      <c r="E7" s="19">
        <v>8.3200212992545194E-5</v>
      </c>
      <c r="F7" s="20">
        <v>8.3212674954649099E-5</v>
      </c>
      <c r="G7" s="6">
        <f t="shared" si="1"/>
        <v>8.3212674954649106</v>
      </c>
      <c r="H7">
        <f t="shared" si="2"/>
        <v>10000</v>
      </c>
      <c r="I7">
        <v>4</v>
      </c>
    </row>
    <row r="8" spans="1:15" x14ac:dyDescent="0.25">
      <c r="A8" s="7" t="s">
        <v>91</v>
      </c>
      <c r="B8" s="4">
        <v>77.634</v>
      </c>
      <c r="C8" s="2">
        <v>77.62</v>
      </c>
      <c r="D8" s="5">
        <f t="shared" si="0"/>
        <v>1.3999999999995794</v>
      </c>
      <c r="E8" s="19">
        <v>9.9960608163282794E-5</v>
      </c>
      <c r="F8" s="20">
        <v>9.9975580544554504E-5</v>
      </c>
      <c r="G8" s="6">
        <f t="shared" si="1"/>
        <v>9.9975580544554496</v>
      </c>
      <c r="H8">
        <f t="shared" si="2"/>
        <v>100</v>
      </c>
      <c r="I8">
        <v>2</v>
      </c>
    </row>
    <row r="9" spans="1:15" x14ac:dyDescent="0.25">
      <c r="A9" s="7" t="s">
        <v>92</v>
      </c>
      <c r="B9" s="4">
        <v>83.24</v>
      </c>
      <c r="C9" s="2">
        <v>83.225999999999999</v>
      </c>
      <c r="D9" s="5">
        <f t="shared" si="0"/>
        <v>1.3999999999995794</v>
      </c>
      <c r="E9" s="19">
        <v>9.9960608163282794E-5</v>
      </c>
      <c r="F9" s="20">
        <v>9.9975580544554504E-5</v>
      </c>
      <c r="G9" s="6">
        <f t="shared" si="1"/>
        <v>9.9975580544554496</v>
      </c>
      <c r="H9">
        <f t="shared" si="2"/>
        <v>100</v>
      </c>
      <c r="I9">
        <v>2</v>
      </c>
    </row>
    <row r="10" spans="1:15" x14ac:dyDescent="0.25">
      <c r="A10" s="7" t="s">
        <v>86</v>
      </c>
      <c r="B10" s="2">
        <v>1.2359800000000001</v>
      </c>
      <c r="C10" s="2">
        <v>1.2357800000000001</v>
      </c>
      <c r="D10" s="5">
        <f t="shared" si="0"/>
        <v>1.9999999999997797</v>
      </c>
      <c r="E10" s="19">
        <v>8.0909711128860395E-5</v>
      </c>
      <c r="F10" s="20">
        <v>8.0921830013147602E-5</v>
      </c>
      <c r="G10" s="6">
        <f t="shared" si="1"/>
        <v>8.0921830013147602</v>
      </c>
      <c r="H10">
        <f t="shared" si="2"/>
        <v>10000</v>
      </c>
      <c r="I10">
        <v>4</v>
      </c>
      <c r="M10">
        <f>POWER(10,L10)</f>
        <v>1</v>
      </c>
    </row>
    <row r="11" spans="1:15" x14ac:dyDescent="0.25">
      <c r="A11" t="s">
        <v>93</v>
      </c>
      <c r="B11">
        <v>1.2887599999999999</v>
      </c>
      <c r="C11">
        <v>1.28861</v>
      </c>
      <c r="D11" s="5">
        <f t="shared" si="0"/>
        <v>1.4999999999987246</v>
      </c>
      <c r="E11" s="19">
        <v>7.7595846645367399E-5</v>
      </c>
      <c r="F11" s="19">
        <v>7.7607469169703905E-5</v>
      </c>
      <c r="G11" s="6">
        <f t="shared" si="1"/>
        <v>7.7607469169703904</v>
      </c>
      <c r="H11">
        <f t="shared" si="2"/>
        <v>10000</v>
      </c>
      <c r="I11">
        <v>4</v>
      </c>
    </row>
    <row r="12" spans="1:15" x14ac:dyDescent="0.25">
      <c r="A12" t="s">
        <v>94</v>
      </c>
      <c r="B12">
        <v>1.2019200000000001</v>
      </c>
      <c r="C12">
        <v>1.20174</v>
      </c>
      <c r="D12" s="5">
        <f t="shared" si="0"/>
        <v>1.8000000000006899</v>
      </c>
      <c r="E12" s="19">
        <v>8.3200212992545194E-5</v>
      </c>
      <c r="F12" s="19">
        <v>8.3212674954649099E-5</v>
      </c>
      <c r="G12" s="6">
        <f t="shared" si="1"/>
        <v>8.3212674954649106</v>
      </c>
      <c r="H12">
        <f t="shared" si="2"/>
        <v>10000</v>
      </c>
      <c r="I12">
        <v>4</v>
      </c>
    </row>
    <row r="13" spans="1:15" x14ac:dyDescent="0.25">
      <c r="A13" t="s">
        <v>4</v>
      </c>
      <c r="B13">
        <v>0.80635999999999997</v>
      </c>
      <c r="C13">
        <v>0.80625000000000002</v>
      </c>
      <c r="D13" s="5">
        <f t="shared" si="0"/>
        <v>1.0999999999994348</v>
      </c>
      <c r="E13" s="19">
        <v>1.2401657348242801E-4</v>
      </c>
      <c r="F13" s="19">
        <v>1.2403514903390001E-4</v>
      </c>
      <c r="G13" s="6">
        <f t="shared" si="1"/>
        <v>12.403514903390001</v>
      </c>
      <c r="H13">
        <f t="shared" si="2"/>
        <v>10000</v>
      </c>
      <c r="I13">
        <v>4</v>
      </c>
    </row>
    <row r="14" spans="1:15" x14ac:dyDescent="0.25">
      <c r="A14" t="s">
        <v>1</v>
      </c>
      <c r="B14">
        <v>100.04</v>
      </c>
      <c r="C14">
        <v>100.027</v>
      </c>
      <c r="D14" s="5">
        <f t="shared" si="0"/>
        <v>1.300000000000523</v>
      </c>
      <c r="E14" s="19">
        <v>9.9960007680255193E-5</v>
      </c>
      <c r="F14" s="19">
        <v>9.9974979971584799E-5</v>
      </c>
      <c r="G14" s="6">
        <f t="shared" si="1"/>
        <v>9.9974979971584794</v>
      </c>
      <c r="H14">
        <f t="shared" si="2"/>
        <v>100</v>
      </c>
      <c r="I14">
        <v>2</v>
      </c>
    </row>
    <row r="15" spans="1:15" x14ac:dyDescent="0.25">
      <c r="A15" t="s">
        <v>3</v>
      </c>
      <c r="B15">
        <v>1.2585299999999999</v>
      </c>
      <c r="C15">
        <v>1.2584299999999999</v>
      </c>
      <c r="D15" s="5">
        <f t="shared" si="0"/>
        <v>0.99999999999988987</v>
      </c>
      <c r="E15" s="19">
        <v>7.9457867412140496E-5</v>
      </c>
      <c r="F15" s="19">
        <v>7.9469768835188894E-5</v>
      </c>
      <c r="G15" s="6">
        <f>F15*100000</f>
        <v>7.9469768835188894</v>
      </c>
      <c r="H15">
        <f t="shared" si="2"/>
        <v>10000</v>
      </c>
      <c r="I15">
        <v>4</v>
      </c>
    </row>
    <row r="16" spans="1:15" x14ac:dyDescent="0.25">
      <c r="A16" t="s">
        <v>95</v>
      </c>
      <c r="B16">
        <v>1.5329900000000001</v>
      </c>
      <c r="C16">
        <v>1.53267</v>
      </c>
      <c r="D16" s="5">
        <f t="shared" si="0"/>
        <v>3.2000000000009798</v>
      </c>
      <c r="E16" s="19">
        <v>8.0911375133120299E-5</v>
      </c>
      <c r="F16" s="19">
        <v>8.0923494266646597E-5</v>
      </c>
      <c r="G16" s="6">
        <f t="shared" si="1"/>
        <v>8.0923494266646596</v>
      </c>
      <c r="H16">
        <f t="shared" si="2"/>
        <v>10000</v>
      </c>
      <c r="I16">
        <v>4</v>
      </c>
    </row>
    <row r="17" spans="1:9" x14ac:dyDescent="0.25">
      <c r="A17" t="s">
        <v>96</v>
      </c>
      <c r="B17">
        <v>1.59846</v>
      </c>
      <c r="C17">
        <v>1.5981000000000001</v>
      </c>
      <c r="D17" s="5">
        <f t="shared" si="0"/>
        <v>3.5999999999991594</v>
      </c>
      <c r="E17" s="19">
        <v>7.7595846645367399E-5</v>
      </c>
      <c r="F17" s="19">
        <v>7.7607469169703905E-5</v>
      </c>
      <c r="G17" s="6">
        <f t="shared" si="1"/>
        <v>7.7607469169703904</v>
      </c>
      <c r="H17">
        <f t="shared" si="2"/>
        <v>10000</v>
      </c>
      <c r="I17">
        <v>4</v>
      </c>
    </row>
    <row r="18" spans="1:9" x14ac:dyDescent="0.25">
      <c r="A18" t="s">
        <v>97</v>
      </c>
      <c r="B18">
        <v>1.49064</v>
      </c>
      <c r="C18">
        <v>1.4904999999999999</v>
      </c>
      <c r="D18" s="5">
        <f t="shared" si="0"/>
        <v>1.4000000000002899</v>
      </c>
      <c r="E18" s="19">
        <v>8.3200212992545194E-5</v>
      </c>
      <c r="F18" s="19">
        <v>8.3212674954649099E-5</v>
      </c>
      <c r="G18" s="6">
        <f t="shared" si="1"/>
        <v>8.3212674954649106</v>
      </c>
      <c r="H18">
        <f t="shared" si="2"/>
        <v>10000</v>
      </c>
      <c r="I18">
        <v>4</v>
      </c>
    </row>
    <row r="19" spans="1:9" x14ac:dyDescent="0.25">
      <c r="A19" t="s">
        <v>98</v>
      </c>
      <c r="B19">
        <v>124.078</v>
      </c>
      <c r="C19">
        <v>124.063</v>
      </c>
      <c r="D19" s="5">
        <f t="shared" si="0"/>
        <v>1.5000000000000568</v>
      </c>
      <c r="E19" s="19">
        <v>9.9960007680255193E-5</v>
      </c>
      <c r="F19" s="19">
        <v>9.9974979971584799E-5</v>
      </c>
      <c r="G19" s="6">
        <f t="shared" si="1"/>
        <v>9.9974979971584794</v>
      </c>
      <c r="H19">
        <f t="shared" si="2"/>
        <v>100</v>
      </c>
      <c r="I19">
        <v>2</v>
      </c>
    </row>
    <row r="20" spans="1:9" x14ac:dyDescent="0.25">
      <c r="A20" t="s">
        <v>5</v>
      </c>
      <c r="B20">
        <v>1.5609299999999999</v>
      </c>
      <c r="C20">
        <v>1.5607599999999999</v>
      </c>
      <c r="D20" s="5">
        <f t="shared" si="0"/>
        <v>1.7000000000000348</v>
      </c>
      <c r="E20" s="19">
        <v>7.9457867412140496E-5</v>
      </c>
      <c r="F20" s="19">
        <v>7.9469768835188894E-5</v>
      </c>
      <c r="G20" s="6">
        <f t="shared" si="1"/>
        <v>7.9469768835188894</v>
      </c>
      <c r="H20">
        <f t="shared" si="2"/>
        <v>10000</v>
      </c>
      <c r="I20">
        <v>4</v>
      </c>
    </row>
    <row r="21" spans="1:9" x14ac:dyDescent="0.25">
      <c r="A21" t="s">
        <v>99</v>
      </c>
      <c r="B21">
        <v>1.02403</v>
      </c>
      <c r="C21">
        <v>1.0239199999999999</v>
      </c>
      <c r="D21" s="5">
        <f t="shared" si="0"/>
        <v>1.100000000000545</v>
      </c>
      <c r="E21" s="19">
        <v>7.7595846645367399E-5</v>
      </c>
      <c r="F21" s="19">
        <v>7.7607469169703905E-5</v>
      </c>
      <c r="G21" s="6">
        <f t="shared" si="1"/>
        <v>7.7607469169703904</v>
      </c>
      <c r="H21">
        <f t="shared" si="2"/>
        <v>10000</v>
      </c>
      <c r="I21">
        <v>4</v>
      </c>
    </row>
    <row r="22" spans="1:9" x14ac:dyDescent="0.25">
      <c r="A22" t="s">
        <v>6</v>
      </c>
      <c r="B22">
        <v>0.95506999999999997</v>
      </c>
      <c r="C22">
        <v>0.95496999999999999</v>
      </c>
      <c r="D22" s="5">
        <f t="shared" si="0"/>
        <v>0.99999999999988987</v>
      </c>
      <c r="E22" s="19">
        <v>8.3200212992545194E-5</v>
      </c>
      <c r="F22" s="19">
        <v>8.3212674954649099E-5</v>
      </c>
      <c r="G22" s="6">
        <f t="shared" si="1"/>
        <v>8.3212674954649106</v>
      </c>
      <c r="H22">
        <f t="shared" si="2"/>
        <v>10000</v>
      </c>
      <c r="I22">
        <v>4</v>
      </c>
    </row>
    <row r="23" spans="1:9" x14ac:dyDescent="0.25">
      <c r="A23" t="s">
        <v>2</v>
      </c>
      <c r="B23">
        <v>79.492999999999995</v>
      </c>
      <c r="C23">
        <v>79.486999999999995</v>
      </c>
      <c r="D23" s="5">
        <f t="shared" si="0"/>
        <v>0.60000000000002274</v>
      </c>
      <c r="E23" s="19">
        <v>9.9960608163282794E-5</v>
      </c>
      <c r="F23" s="19">
        <v>9.9975580544554504E-5</v>
      </c>
      <c r="G23" s="6">
        <f t="shared" si="1"/>
        <v>9.9975580544554496</v>
      </c>
      <c r="H23">
        <f t="shared" si="2"/>
        <v>100</v>
      </c>
      <c r="I23">
        <v>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"/>
  <sheetViews>
    <sheetView topLeftCell="E1" workbookViewId="0">
      <selection activeCell="S4" sqref="S4"/>
    </sheetView>
  </sheetViews>
  <sheetFormatPr baseColWidth="10" defaultRowHeight="15" x14ac:dyDescent="0.25"/>
  <cols>
    <col min="1" max="1" width="12.7109375" style="8" customWidth="1"/>
    <col min="2" max="2" width="11.42578125" style="8"/>
    <col min="3" max="3" width="13" style="8" customWidth="1"/>
    <col min="4" max="4" width="16.140625" style="9" customWidth="1"/>
    <col min="5" max="6" width="12.85546875" style="10" customWidth="1"/>
    <col min="7" max="8" width="11.42578125" style="8"/>
    <col min="9" max="9" width="12.42578125" style="8" customWidth="1"/>
    <col min="10" max="10" width="11.42578125" style="8"/>
    <col min="11" max="11" width="14.28515625" customWidth="1"/>
    <col min="12" max="13" width="13.7109375" style="12" bestFit="1" customWidth="1"/>
    <col min="14" max="14" width="11.85546875" style="10" bestFit="1" customWidth="1"/>
    <col min="15" max="17" width="11.42578125" style="8"/>
    <col min="18" max="18" width="11.42578125" style="11"/>
    <col min="19" max="19" width="91.140625" style="8" customWidth="1"/>
    <col min="20" max="20" width="9.140625" style="13" hidden="1" customWidth="1"/>
    <col min="21" max="22" width="11.42578125" style="8" hidden="1" customWidth="1"/>
    <col min="23" max="23" width="16.5703125" style="8" hidden="1" customWidth="1"/>
    <col min="24" max="16384" width="11.42578125" style="8"/>
  </cols>
  <sheetData>
    <row r="1" spans="1:23" ht="22.5" customHeight="1" x14ac:dyDescent="0.5">
      <c r="A1" s="140" t="str">
        <f>CONCATENATE("Postition Reports (Note all the currencies are in ",Currency,")")</f>
        <v>Postition Reports (Note all the currencies are in EUR)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23" ht="12" x14ac:dyDescent="0.2">
      <c r="A2" s="8" t="s">
        <v>24</v>
      </c>
      <c r="B2" s="8" t="s">
        <v>18</v>
      </c>
      <c r="C2" s="8" t="s">
        <v>19</v>
      </c>
      <c r="D2" s="9" t="s">
        <v>25</v>
      </c>
      <c r="E2" s="10" t="s">
        <v>26</v>
      </c>
      <c r="F2" s="10" t="s">
        <v>27</v>
      </c>
      <c r="G2" s="8" t="s">
        <v>28</v>
      </c>
      <c r="H2" s="8" t="s">
        <v>29</v>
      </c>
      <c r="I2" s="11" t="s">
        <v>31</v>
      </c>
      <c r="J2" s="8" t="s">
        <v>30</v>
      </c>
      <c r="K2" s="12" t="s">
        <v>32</v>
      </c>
      <c r="L2" s="12" t="s">
        <v>33</v>
      </c>
      <c r="M2" s="14" t="s">
        <v>22</v>
      </c>
      <c r="N2" s="10" t="s">
        <v>20</v>
      </c>
      <c r="O2" s="8" t="s">
        <v>21</v>
      </c>
      <c r="P2" s="8" t="s">
        <v>34</v>
      </c>
      <c r="Q2" s="11" t="s">
        <v>39</v>
      </c>
      <c r="R2" s="21" t="s">
        <v>36</v>
      </c>
      <c r="S2" s="13" t="s">
        <v>23</v>
      </c>
      <c r="T2" s="15" t="s">
        <v>79</v>
      </c>
      <c r="U2" s="15" t="s">
        <v>80</v>
      </c>
      <c r="V2" s="15" t="s">
        <v>81</v>
      </c>
      <c r="W2" s="8" t="s">
        <v>82</v>
      </c>
    </row>
    <row r="3" spans="1:23" ht="12" customHeight="1" x14ac:dyDescent="0.2">
      <c r="A3" s="8">
        <v>0</v>
      </c>
      <c r="B3" s="8" t="s">
        <v>35</v>
      </c>
      <c r="C3" s="8" t="s">
        <v>3</v>
      </c>
      <c r="D3" s="9">
        <v>0</v>
      </c>
      <c r="E3" s="10">
        <v>0</v>
      </c>
      <c r="F3" s="10">
        <v>0</v>
      </c>
      <c r="G3" s="8">
        <v>0</v>
      </c>
      <c r="H3" s="8">
        <v>0</v>
      </c>
      <c r="I3" s="8">
        <v>0</v>
      </c>
      <c r="J3" s="8">
        <f>SUM(Tableau2[[#This Row],[P/L]:[Vol. commision]])</f>
        <v>0</v>
      </c>
      <c r="K3" s="12">
        <v>29221</v>
      </c>
      <c r="L3" s="12">
        <v>29221</v>
      </c>
      <c r="M3" s="14">
        <f>Tableau2[[#This Row],[Close Date]]-Tableau2[[#This Row],[Open Date]]</f>
        <v>0</v>
      </c>
      <c r="Q3" s="11">
        <f t="shared" ref="Q3" ca="1" si="0">SUM(OFFSET($A2,1,9),OFFSET($A2,0,16))</f>
        <v>0</v>
      </c>
      <c r="R3" s="23">
        <f>IF('Position Report'!$G3&gt;0,ABS(('Position Report'!$F3-'Position Report'!$E3)*IF(COUNTIF(C3,"*JPY*")=1,100,10000)),-ABS(('Position Report'!$F3-'Position Report'!$E3)*IF(COUNTIF(C3,"*JPY*")=1,100,10000)))</f>
        <v>0</v>
      </c>
      <c r="S3" s="13" t="s">
        <v>101</v>
      </c>
      <c r="T3" s="15">
        <f>SIGN(Tableau2[[#This Row],[P/L in Pip]])</f>
        <v>0</v>
      </c>
      <c r="U3" s="15">
        <f t="shared" ref="U3" ca="1" si="1">IF(ISNUMBER(OFFSET($A2,0,19)),OFFSET($A2,0,19),OFFSET($A2,1,19))</f>
        <v>0</v>
      </c>
      <c r="V3" s="16">
        <f ca="1">IF(Tableau2[[#This Row],[signe]]=Tableau2[[#This Row],[signe decaler]],SUM(OFFSET($A3,0,19),OFFSET($A3,-1,21)),OFFSET($A3,0,19))</f>
        <v>0</v>
      </c>
      <c r="W3" s="18">
        <f ca="1">IF(Tableau2[[#This Row],[Cumul p/l]]&lt;&gt;0,SUM(OFFSET($A2,1,9),OFFSET($A2,0,16)),0)</f>
        <v>0</v>
      </c>
    </row>
  </sheetData>
  <mergeCells count="1">
    <mergeCell ref="A1:S1"/>
  </mergeCells>
  <dataValidations count="1">
    <dataValidation type="list" allowBlank="1" showInputMessage="1" showErrorMessage="1" sqref="B1:B1048576">
      <formula1>LongorShort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613EDC99-0842-4F4B-AA03-CACE3109F66C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Arrows" iconId="0"/>
              <x14:cfIcon iconSet="NoIcons" iconId="0"/>
              <x14:cfIcon iconSet="3Arrows" iconId="2"/>
            </x14:iconSet>
          </x14:cfRule>
          <xm:sqref>S4:S1048576 R2:R3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9"/>
  <sheetViews>
    <sheetView workbookViewId="0">
      <selection activeCell="E4" sqref="E4"/>
    </sheetView>
  </sheetViews>
  <sheetFormatPr baseColWidth="10" defaultRowHeight="15" x14ac:dyDescent="0.25"/>
  <cols>
    <col min="1" max="1" width="11.42578125" style="17"/>
    <col min="2" max="2" width="11.42578125" customWidth="1"/>
    <col min="4" max="4" width="18.7109375" style="83" customWidth="1"/>
    <col min="5" max="5" width="24.28515625" style="24" customWidth="1"/>
    <col min="6" max="6" width="12.85546875" style="82" customWidth="1"/>
  </cols>
  <sheetData>
    <row r="1" spans="3:6" ht="19.5" thickTop="1" x14ac:dyDescent="0.3">
      <c r="D1" s="141" t="s">
        <v>59</v>
      </c>
      <c r="E1" s="142"/>
      <c r="F1" s="143"/>
    </row>
    <row r="2" spans="3:6" x14ac:dyDescent="0.25">
      <c r="D2" s="84" t="s">
        <v>38</v>
      </c>
      <c r="E2" s="85" t="s">
        <v>78</v>
      </c>
      <c r="F2" s="86" t="s">
        <v>16</v>
      </c>
    </row>
    <row r="3" spans="3:6" x14ac:dyDescent="0.25">
      <c r="D3" s="87">
        <v>29221</v>
      </c>
      <c r="E3" s="119">
        <v>100000</v>
      </c>
      <c r="F3" s="82" t="s">
        <v>17</v>
      </c>
    </row>
    <row r="4" spans="3:6" x14ac:dyDescent="0.25">
      <c r="C4" t="str">
        <f t="shared" ref="C4:C39" si="0">IF(B4&lt;&gt;0,Currency,"")</f>
        <v/>
      </c>
    </row>
    <row r="5" spans="3:6" x14ac:dyDescent="0.25">
      <c r="C5" t="str">
        <f t="shared" si="0"/>
        <v/>
      </c>
    </row>
    <row r="6" spans="3:6" x14ac:dyDescent="0.25">
      <c r="C6" t="str">
        <f t="shared" si="0"/>
        <v/>
      </c>
    </row>
    <row r="7" spans="3:6" x14ac:dyDescent="0.25">
      <c r="C7" t="str">
        <f t="shared" si="0"/>
        <v/>
      </c>
    </row>
    <row r="8" spans="3:6" x14ac:dyDescent="0.25">
      <c r="C8" t="str">
        <f t="shared" si="0"/>
        <v/>
      </c>
    </row>
    <row r="9" spans="3:6" x14ac:dyDescent="0.25">
      <c r="C9" t="str">
        <f t="shared" si="0"/>
        <v/>
      </c>
    </row>
    <row r="10" spans="3:6" x14ac:dyDescent="0.25">
      <c r="C10" t="str">
        <f t="shared" si="0"/>
        <v/>
      </c>
    </row>
    <row r="11" spans="3:6" x14ac:dyDescent="0.25">
      <c r="C11" t="str">
        <f t="shared" si="0"/>
        <v/>
      </c>
    </row>
    <row r="12" spans="3:6" x14ac:dyDescent="0.25">
      <c r="C12" t="str">
        <f t="shared" si="0"/>
        <v/>
      </c>
    </row>
    <row r="13" spans="3:6" x14ac:dyDescent="0.25">
      <c r="C13" t="str">
        <f t="shared" si="0"/>
        <v/>
      </c>
    </row>
    <row r="14" spans="3:6" x14ac:dyDescent="0.25">
      <c r="C14" t="str">
        <f t="shared" si="0"/>
        <v/>
      </c>
    </row>
    <row r="15" spans="3:6" x14ac:dyDescent="0.25">
      <c r="C15" t="str">
        <f t="shared" si="0"/>
        <v/>
      </c>
    </row>
    <row r="16" spans="3:6" x14ac:dyDescent="0.25">
      <c r="C16" t="str">
        <f t="shared" si="0"/>
        <v/>
      </c>
    </row>
    <row r="17" spans="3:3" x14ac:dyDescent="0.25">
      <c r="C17" t="str">
        <f t="shared" si="0"/>
        <v/>
      </c>
    </row>
    <row r="18" spans="3:3" x14ac:dyDescent="0.25">
      <c r="C18" t="str">
        <f t="shared" si="0"/>
        <v/>
      </c>
    </row>
    <row r="19" spans="3:3" x14ac:dyDescent="0.25">
      <c r="C19" t="str">
        <f t="shared" si="0"/>
        <v/>
      </c>
    </row>
    <row r="20" spans="3:3" x14ac:dyDescent="0.25">
      <c r="C20" t="str">
        <f t="shared" si="0"/>
        <v/>
      </c>
    </row>
    <row r="21" spans="3:3" x14ac:dyDescent="0.25">
      <c r="C21" t="str">
        <f t="shared" si="0"/>
        <v/>
      </c>
    </row>
    <row r="22" spans="3:3" x14ac:dyDescent="0.25">
      <c r="C22" t="str">
        <f t="shared" si="0"/>
        <v/>
      </c>
    </row>
    <row r="23" spans="3:3" x14ac:dyDescent="0.25">
      <c r="C23" t="str">
        <f t="shared" si="0"/>
        <v/>
      </c>
    </row>
    <row r="24" spans="3:3" x14ac:dyDescent="0.25">
      <c r="C24" t="str">
        <f t="shared" si="0"/>
        <v/>
      </c>
    </row>
    <row r="25" spans="3:3" x14ac:dyDescent="0.25">
      <c r="C25" t="str">
        <f t="shared" si="0"/>
        <v/>
      </c>
    </row>
    <row r="26" spans="3:3" x14ac:dyDescent="0.25">
      <c r="C26" t="str">
        <f t="shared" si="0"/>
        <v/>
      </c>
    </row>
    <row r="27" spans="3:3" x14ac:dyDescent="0.25">
      <c r="C27" t="str">
        <f t="shared" si="0"/>
        <v/>
      </c>
    </row>
    <row r="28" spans="3:3" x14ac:dyDescent="0.25">
      <c r="C28" t="str">
        <f t="shared" si="0"/>
        <v/>
      </c>
    </row>
    <row r="29" spans="3:3" x14ac:dyDescent="0.25">
      <c r="C29" t="str">
        <f t="shared" si="0"/>
        <v/>
      </c>
    </row>
    <row r="30" spans="3:3" x14ac:dyDescent="0.25">
      <c r="C30" t="str">
        <f t="shared" si="0"/>
        <v/>
      </c>
    </row>
    <row r="31" spans="3:3" x14ac:dyDescent="0.25">
      <c r="C31" t="str">
        <f t="shared" si="0"/>
        <v/>
      </c>
    </row>
    <row r="32" spans="3:3" x14ac:dyDescent="0.25">
      <c r="C32" t="str">
        <f t="shared" si="0"/>
        <v/>
      </c>
    </row>
    <row r="33" spans="3:3" x14ac:dyDescent="0.25">
      <c r="C33" t="str">
        <f t="shared" si="0"/>
        <v/>
      </c>
    </row>
    <row r="34" spans="3:3" x14ac:dyDescent="0.25">
      <c r="C34" t="str">
        <f t="shared" si="0"/>
        <v/>
      </c>
    </row>
    <row r="35" spans="3:3" x14ac:dyDescent="0.25">
      <c r="C35" t="str">
        <f t="shared" si="0"/>
        <v/>
      </c>
    </row>
    <row r="36" spans="3:3" x14ac:dyDescent="0.25">
      <c r="C36" t="str">
        <f t="shared" si="0"/>
        <v/>
      </c>
    </row>
    <row r="37" spans="3:3" x14ac:dyDescent="0.25">
      <c r="C37" t="str">
        <f t="shared" si="0"/>
        <v/>
      </c>
    </row>
    <row r="38" spans="3:3" x14ac:dyDescent="0.25">
      <c r="C38" t="str">
        <f t="shared" si="0"/>
        <v/>
      </c>
    </row>
    <row r="39" spans="3:3" x14ac:dyDescent="0.25">
      <c r="C39" t="str">
        <f t="shared" si="0"/>
        <v/>
      </c>
    </row>
  </sheetData>
  <mergeCells count="1">
    <mergeCell ref="D1:F1"/>
  </mergeCells>
  <conditionalFormatting sqref="E3">
    <cfRule type="cellIs" dxfId="0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5" sqref="T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Dashboard</vt:lpstr>
      <vt:lpstr>DDEJFOREX</vt:lpstr>
      <vt:lpstr>Position Report</vt:lpstr>
      <vt:lpstr>Deposit Log</vt:lpstr>
      <vt:lpstr>Graphs PL</vt:lpstr>
      <vt:lpstr>Close_date</vt:lpstr>
      <vt:lpstr>Currency</vt:lpstr>
      <vt:lpstr>Currency_dde</vt:lpstr>
      <vt:lpstr>Currency_deposit</vt:lpstr>
      <vt:lpstr>Deposit</vt:lpstr>
      <vt:lpstr>Instruments</vt:lpstr>
      <vt:lpstr>LongorShort</vt:lpstr>
      <vt:lpstr>Open_date</vt:lpstr>
      <vt:lpstr>Side</vt:lpstr>
      <vt:lpstr>yesno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2012-05-30T15:59:29Z</dcterms:created>
  <dcterms:modified xsi:type="dcterms:W3CDTF">2012-07-05T12:22:07Z</dcterms:modified>
</cp:coreProperties>
</file>